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 defaultThemeVersion="124226"/>
  <bookViews>
    <workbookView xWindow="165" yWindow="-105" windowWidth="7785" windowHeight="12540" tabRatio="848" activeTab="7"/>
  </bookViews>
  <sheets>
    <sheet name="PISO E RODAPÉ" sheetId="18" r:id="rId1"/>
    <sheet name="ESQUADRIAS" sheetId="7" r:id="rId2"/>
    <sheet name="LOUÇAS" sheetId="19" r:id="rId3"/>
    <sheet name="COBERTURA" sheetId="21" r:id="rId4"/>
    <sheet name="INSTALAÇÕES HIDRÁULICAS" sheetId="16" r:id="rId5"/>
    <sheet name="INSTALAÇÕES SANITÁRIAS" sheetId="22" r:id="rId6"/>
    <sheet name="INST. ELÉTRICA" sheetId="23" r:id="rId7"/>
    <sheet name="VEDAÇÃO E REVESTIMENTOS" sheetId="6" r:id="rId8"/>
  </sheets>
  <definedNames>
    <definedName name="_xlnm._FilterDatabase" localSheetId="0" hidden="1">'PISO E RODAPÉ'!$A$6:$E$6</definedName>
    <definedName name="_xlnm._FilterDatabase" localSheetId="7" hidden="1">'VEDAÇÃO E REVESTIMENTOS'!$A$6:$F$71</definedName>
    <definedName name="_xlnm.Print_Area" localSheetId="3">COBERTURA!$A$1:$G$52</definedName>
    <definedName name="_xlnm.Print_Area" localSheetId="1">ESQUADRIAS!$A$1:$F$32</definedName>
    <definedName name="_xlnm.Print_Area" localSheetId="6">'INST. ELÉTRICA'!$A$1:$C$40</definedName>
    <definedName name="_xlnm.Print_Area" localSheetId="4">'INSTALAÇÕES HIDRÁULICAS'!$A$1:$E$31</definedName>
    <definedName name="_xlnm.Print_Area" localSheetId="5">'INSTALAÇÕES SANITÁRIAS'!$A$1:$F$42</definedName>
    <definedName name="_xlnm.Print_Area" localSheetId="2">LOUÇAS!$A$1:$O$19</definedName>
    <definedName name="_xlnm.Print_Area" localSheetId="0">'PISO E RODAPÉ'!$A$3:$H$26</definedName>
    <definedName name="_xlnm.Print_Area" localSheetId="7">'VEDAÇÃO E REVESTIMENTOS'!$A$1:$Q$82</definedName>
    <definedName name="_xlnm.Print_Titles" localSheetId="1">ESQUADRIAS!$4:$5</definedName>
    <definedName name="_xlnm.Print_Titles" localSheetId="2">LOUÇAS!$5:$7</definedName>
    <definedName name="_xlnm.Print_Titles" localSheetId="0">'PISO E RODAPÉ'!$5:$6</definedName>
    <definedName name="_xlnm.Print_Titles" localSheetId="7">'VEDAÇÃO E REVESTIMENTOS'!$5:$6</definedName>
  </definedNames>
  <calcPr calcId="145621"/>
</workbook>
</file>

<file path=xl/calcChain.xml><?xml version="1.0" encoding="utf-8"?>
<calcChain xmlns="http://schemas.openxmlformats.org/spreadsheetml/2006/main">
  <c r="C52" i="21" l="1"/>
  <c r="M56" i="6"/>
  <c r="L56" i="6"/>
  <c r="M58" i="6"/>
  <c r="L58" i="6"/>
  <c r="F27" i="22"/>
  <c r="D38" i="22"/>
  <c r="D32" i="22"/>
  <c r="B32" i="22"/>
  <c r="B7" i="22"/>
  <c r="B23" i="22"/>
  <c r="F21" i="22"/>
  <c r="C9" i="23" l="1"/>
  <c r="C8" i="23"/>
  <c r="C7" i="23"/>
  <c r="B14" i="16" l="1"/>
  <c r="B13" i="16"/>
  <c r="B12" i="16"/>
  <c r="B10" i="16" l="1"/>
  <c r="B8" i="16"/>
  <c r="B7" i="16"/>
  <c r="B6" i="16"/>
  <c r="M65" i="6" l="1"/>
  <c r="N65" i="6" s="1"/>
  <c r="M67" i="6"/>
  <c r="N67" i="6" s="1"/>
  <c r="M11" i="6"/>
  <c r="N11" i="6" s="1"/>
  <c r="M12" i="6"/>
  <c r="N12" i="6" s="1"/>
  <c r="M43" i="6"/>
  <c r="N43" i="6" s="1"/>
  <c r="F42" i="6"/>
  <c r="N42" i="6" s="1"/>
  <c r="E42" i="6"/>
  <c r="M30" i="6"/>
  <c r="N30" i="6" s="1"/>
  <c r="M55" i="6"/>
  <c r="Q64" i="6"/>
  <c r="P64" i="6"/>
  <c r="Q61" i="6"/>
  <c r="P61" i="6"/>
  <c r="Q56" i="6"/>
  <c r="P56" i="6"/>
  <c r="Q52" i="6"/>
  <c r="P52" i="6"/>
  <c r="Q48" i="6"/>
  <c r="P48" i="6"/>
  <c r="Q44" i="6"/>
  <c r="P44" i="6"/>
  <c r="Q39" i="6"/>
  <c r="P39" i="6"/>
  <c r="Q35" i="6"/>
  <c r="P35" i="6"/>
  <c r="Q31" i="6"/>
  <c r="P31" i="6"/>
  <c r="Q25" i="6"/>
  <c r="P25" i="6"/>
  <c r="Q21" i="6"/>
  <c r="P21" i="6"/>
  <c r="Q17" i="6"/>
  <c r="P17" i="6"/>
  <c r="Q13" i="6"/>
  <c r="P13" i="6"/>
  <c r="Q7" i="6"/>
  <c r="P7" i="6"/>
  <c r="E71" i="6"/>
  <c r="F71" i="6" s="1"/>
  <c r="E70" i="6"/>
  <c r="F70" i="6" s="1"/>
  <c r="E69" i="6"/>
  <c r="F69" i="6" s="1"/>
  <c r="E68" i="6"/>
  <c r="F68" i="6" s="1"/>
  <c r="M68" i="6" s="1"/>
  <c r="N68" i="6" s="1"/>
  <c r="I67" i="6"/>
  <c r="I66" i="6"/>
  <c r="M66" i="6" s="1"/>
  <c r="N66" i="6" s="1"/>
  <c r="F65" i="6"/>
  <c r="I64" i="6"/>
  <c r="M64" i="6" s="1"/>
  <c r="N64" i="6" s="1"/>
  <c r="E63" i="6"/>
  <c r="F63" i="6" s="1"/>
  <c r="M63" i="6" s="1"/>
  <c r="N63" i="6" s="1"/>
  <c r="F62" i="6"/>
  <c r="M62" i="6" s="1"/>
  <c r="N62" i="6" s="1"/>
  <c r="F61" i="6"/>
  <c r="M61" i="6" s="1"/>
  <c r="N61" i="6" s="1"/>
  <c r="F60" i="6"/>
  <c r="M60" i="6" s="1"/>
  <c r="N60" i="6" s="1"/>
  <c r="J59" i="6"/>
  <c r="M59" i="6" s="1"/>
  <c r="F58" i="6"/>
  <c r="N58" i="6" s="1"/>
  <c r="F57" i="6"/>
  <c r="M57" i="6" s="1"/>
  <c r="N57" i="6" s="1"/>
  <c r="E56" i="6"/>
  <c r="F56" i="6" s="1"/>
  <c r="N56" i="6" s="1"/>
  <c r="L52" i="6"/>
  <c r="L53" i="6"/>
  <c r="L55" i="6"/>
  <c r="L48" i="6"/>
  <c r="L50" i="6"/>
  <c r="L51" i="6"/>
  <c r="L49" i="6"/>
  <c r="L46" i="6"/>
  <c r="L47" i="6"/>
  <c r="L45" i="6"/>
  <c r="L44" i="6"/>
  <c r="L34" i="6"/>
  <c r="L31" i="6"/>
  <c r="L27" i="6"/>
  <c r="L24" i="6"/>
  <c r="L22" i="6"/>
  <c r="L19" i="6"/>
  <c r="L7" i="6"/>
  <c r="L16" i="6"/>
  <c r="L15" i="6"/>
  <c r="J12" i="19"/>
  <c r="J10" i="19"/>
  <c r="J8" i="19"/>
  <c r="I12" i="19"/>
  <c r="I10" i="19"/>
  <c r="I8" i="19"/>
  <c r="J41" i="6"/>
  <c r="N41" i="6" s="1"/>
  <c r="E40" i="6"/>
  <c r="F40" i="6" s="1"/>
  <c r="M40" i="6" s="1"/>
  <c r="E39" i="6"/>
  <c r="F39" i="6" s="1"/>
  <c r="M39" i="6" s="1"/>
  <c r="M42" i="6" l="1"/>
  <c r="N69" i="6"/>
  <c r="N70" i="6"/>
  <c r="N71" i="6"/>
  <c r="N59" i="6"/>
  <c r="N40" i="6"/>
  <c r="T63" i="6"/>
  <c r="M41" i="6"/>
  <c r="N39" i="6"/>
  <c r="T66" i="6" l="1"/>
  <c r="T64" i="6"/>
  <c r="T65" i="6"/>
  <c r="T62" i="6"/>
  <c r="E46" i="6" l="1"/>
  <c r="F46" i="6" s="1"/>
  <c r="M46" i="6" s="1"/>
  <c r="N46" i="6" s="1"/>
  <c r="E44" i="6"/>
  <c r="F44" i="6" s="1"/>
  <c r="M44" i="6" s="1"/>
  <c r="N44" i="6" s="1"/>
  <c r="F47" i="6"/>
  <c r="M47" i="6" s="1"/>
  <c r="N47" i="6" s="1"/>
  <c r="F45" i="6"/>
  <c r="M45" i="6" s="1"/>
  <c r="N45" i="6" s="1"/>
  <c r="F53" i="6"/>
  <c r="M53" i="6" s="1"/>
  <c r="N53" i="6" s="1"/>
  <c r="N55" i="6"/>
  <c r="I54" i="6"/>
  <c r="J54" i="6" s="1"/>
  <c r="E52" i="6"/>
  <c r="F52" i="6" s="1"/>
  <c r="M52" i="6" s="1"/>
  <c r="N52" i="6" s="1"/>
  <c r="E48" i="6"/>
  <c r="F48" i="6" s="1"/>
  <c r="I50" i="6"/>
  <c r="J50" i="6" s="1"/>
  <c r="M50" i="6" s="1"/>
  <c r="N50" i="6" s="1"/>
  <c r="J51" i="6"/>
  <c r="M51" i="6" s="1"/>
  <c r="N51" i="6" s="1"/>
  <c r="J49" i="6"/>
  <c r="M49" i="6" s="1"/>
  <c r="N49" i="6" s="1"/>
  <c r="F38" i="6"/>
  <c r="J38" i="6"/>
  <c r="J37" i="6"/>
  <c r="M37" i="6" s="1"/>
  <c r="I36" i="6"/>
  <c r="J36" i="6" s="1"/>
  <c r="M36" i="6" s="1"/>
  <c r="F35" i="6"/>
  <c r="F29" i="6"/>
  <c r="N29" i="6" s="1"/>
  <c r="E28" i="6"/>
  <c r="F28" i="6" s="1"/>
  <c r="E27" i="6"/>
  <c r="F27" i="6" s="1"/>
  <c r="L26" i="6"/>
  <c r="M26" i="6" s="1"/>
  <c r="N26" i="6" s="1"/>
  <c r="I25" i="6"/>
  <c r="J25" i="6" s="1"/>
  <c r="E32" i="6"/>
  <c r="L32" i="6" s="1"/>
  <c r="E33" i="6"/>
  <c r="L8" i="6"/>
  <c r="L18" i="6"/>
  <c r="E18" i="6"/>
  <c r="J20" i="6"/>
  <c r="M20" i="6" s="1"/>
  <c r="I17" i="6"/>
  <c r="J17" i="6" s="1"/>
  <c r="N17" i="6" s="1"/>
  <c r="E19" i="6"/>
  <c r="E23" i="6"/>
  <c r="L23" i="6" s="1"/>
  <c r="E21" i="6"/>
  <c r="L21" i="6" s="1"/>
  <c r="E13" i="6"/>
  <c r="L13" i="6" s="1"/>
  <c r="E14" i="6"/>
  <c r="L14" i="6" s="1"/>
  <c r="I10" i="6"/>
  <c r="J10" i="6" s="1"/>
  <c r="M10" i="6" s="1"/>
  <c r="M27" i="6" l="1"/>
  <c r="N27" i="6" s="1"/>
  <c r="N20" i="6"/>
  <c r="M48" i="6"/>
  <c r="N48" i="6" s="1"/>
  <c r="F33" i="6"/>
  <c r="L33" i="6"/>
  <c r="N37" i="6"/>
  <c r="M38" i="6"/>
  <c r="N38" i="6" s="1"/>
  <c r="M35" i="6"/>
  <c r="N35" i="6"/>
  <c r="N36" i="6"/>
  <c r="N54" i="6"/>
  <c r="M54" i="6"/>
  <c r="N25" i="6"/>
  <c r="M25" i="6"/>
  <c r="N28" i="6"/>
  <c r="M28" i="6"/>
  <c r="M29" i="6"/>
  <c r="N10" i="6"/>
  <c r="M17" i="6"/>
  <c r="J72" i="6"/>
  <c r="E9" i="6"/>
  <c r="E7" i="6"/>
  <c r="M33" i="6" l="1"/>
  <c r="N33" i="6" s="1"/>
  <c r="D12" i="21"/>
  <c r="D10" i="21"/>
  <c r="D9" i="21"/>
  <c r="D8" i="21"/>
  <c r="J16" i="19" l="1"/>
  <c r="I16" i="19"/>
  <c r="F18" i="19"/>
  <c r="J15" i="19"/>
  <c r="I15" i="19"/>
  <c r="E20" i="18"/>
  <c r="E19" i="18"/>
  <c r="J19" i="18" s="1"/>
  <c r="E18" i="18"/>
  <c r="J18" i="18" s="1"/>
  <c r="C18" i="18"/>
  <c r="C13" i="18"/>
  <c r="H13" i="18"/>
  <c r="J13" i="18" s="1"/>
  <c r="H11" i="18"/>
  <c r="J11" i="18" s="1"/>
  <c r="C11" i="18"/>
  <c r="E11" i="18"/>
  <c r="H12" i="18"/>
  <c r="J12" i="18" s="1"/>
  <c r="E12" i="18"/>
  <c r="C14" i="18"/>
  <c r="E14" i="18"/>
  <c r="H8" i="18"/>
  <c r="J8" i="18" s="1"/>
  <c r="H10" i="18"/>
  <c r="J10" i="18" s="1"/>
  <c r="C9" i="18"/>
  <c r="H9" i="18"/>
  <c r="J9" i="18" s="1"/>
  <c r="E10" i="18"/>
  <c r="H17" i="18" l="1"/>
  <c r="J17" i="18" s="1"/>
  <c r="H16" i="18"/>
  <c r="J16" i="18" s="1"/>
  <c r="E16" i="18"/>
  <c r="H7" i="18"/>
  <c r="J7" i="18" s="1"/>
  <c r="E8" i="18"/>
  <c r="C7" i="18"/>
  <c r="F16" i="6" l="1"/>
  <c r="M16" i="6" s="1"/>
  <c r="N16" i="6" s="1"/>
  <c r="F15" i="6"/>
  <c r="M15" i="6" s="1"/>
  <c r="N15" i="6" s="1"/>
  <c r="F14" i="6"/>
  <c r="M14" i="6" s="1"/>
  <c r="N14" i="6" s="1"/>
  <c r="F13" i="6"/>
  <c r="M13" i="6" s="1"/>
  <c r="N13" i="6" s="1"/>
  <c r="N18" i="19"/>
  <c r="M18" i="19"/>
  <c r="L18" i="19"/>
  <c r="K18" i="19"/>
  <c r="H18" i="19"/>
  <c r="G18" i="19"/>
  <c r="E18" i="19"/>
  <c r="D18" i="19"/>
  <c r="C18" i="19"/>
  <c r="O18" i="19"/>
  <c r="D21" i="18"/>
  <c r="F26" i="22" l="1"/>
  <c r="B37" i="22" s="1"/>
  <c r="H14" i="18" l="1"/>
  <c r="J14" i="18" s="1"/>
  <c r="H15" i="18"/>
  <c r="J15" i="18" s="1"/>
  <c r="H20" i="18"/>
  <c r="J20" i="18" s="1"/>
  <c r="E15" i="18"/>
  <c r="E13" i="18"/>
  <c r="E9" i="18"/>
  <c r="E7" i="18"/>
  <c r="J21" i="18" l="1"/>
  <c r="E21" i="18"/>
  <c r="C25" i="18" s="1"/>
  <c r="H21" i="18"/>
  <c r="C24" i="18" s="1"/>
  <c r="F34" i="6" l="1"/>
  <c r="M34" i="6" s="1"/>
  <c r="N34" i="6" s="1"/>
  <c r="F32" i="6"/>
  <c r="M32" i="6" s="1"/>
  <c r="N32" i="6" s="1"/>
  <c r="F31" i="6"/>
  <c r="M31" i="6" s="1"/>
  <c r="N31" i="6" s="1"/>
  <c r="F24" i="6"/>
  <c r="M24" i="6" s="1"/>
  <c r="N24" i="6" s="1"/>
  <c r="F23" i="6"/>
  <c r="F22" i="6"/>
  <c r="M22" i="6" s="1"/>
  <c r="N22" i="6" s="1"/>
  <c r="F21" i="6"/>
  <c r="M21" i="6" s="1"/>
  <c r="N21" i="6" s="1"/>
  <c r="F19" i="6"/>
  <c r="M19" i="6" s="1"/>
  <c r="N19" i="6" s="1"/>
  <c r="F18" i="6"/>
  <c r="M18" i="6" s="1"/>
  <c r="N18" i="6" s="1"/>
  <c r="F9" i="6"/>
  <c r="M9" i="6" s="1"/>
  <c r="F8" i="6"/>
  <c r="M8" i="6" s="1"/>
  <c r="N8" i="6" s="1"/>
  <c r="F7" i="6"/>
  <c r="M7" i="6" s="1"/>
  <c r="N7" i="6" s="1"/>
  <c r="M23" i="6" l="1"/>
  <c r="N23" i="6" s="1"/>
  <c r="N9" i="6"/>
  <c r="T59" i="6"/>
  <c r="C21" i="18"/>
  <c r="C26" i="18" s="1"/>
  <c r="T38" i="6" l="1"/>
  <c r="J18" i="19"/>
  <c r="I18" i="19"/>
  <c r="F23" i="22" l="1"/>
  <c r="B34" i="22" s="1"/>
  <c r="D34" i="22" s="1"/>
  <c r="F24" i="22"/>
  <c r="B35" i="22" s="1"/>
  <c r="D35" i="22" s="1"/>
  <c r="F25" i="22"/>
  <c r="F22" i="22"/>
  <c r="B33" i="22" s="1"/>
  <c r="D33" i="22" s="1"/>
  <c r="D37" i="22"/>
  <c r="B36" i="22" l="1"/>
  <c r="D36" i="22" s="1"/>
  <c r="U8" i="6" l="1"/>
  <c r="U9" i="6"/>
  <c r="U10" i="6"/>
  <c r="U17" i="6"/>
  <c r="U18" i="6"/>
  <c r="U19" i="6"/>
  <c r="U20" i="6"/>
  <c r="U21" i="6"/>
  <c r="U22" i="6"/>
  <c r="U23" i="6"/>
  <c r="U24" i="6"/>
  <c r="U25" i="6"/>
  <c r="U26" i="6"/>
  <c r="U31" i="6"/>
  <c r="U32" i="6"/>
  <c r="U34" i="6"/>
  <c r="U35" i="6"/>
  <c r="U36" i="6"/>
  <c r="U37" i="6"/>
  <c r="U39" i="6"/>
  <c r="U40" i="6"/>
  <c r="U41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60" i="6"/>
  <c r="U61" i="6"/>
  <c r="U69" i="6"/>
  <c r="U71" i="6"/>
  <c r="U7" i="6"/>
  <c r="S8" i="6" l="1"/>
  <c r="S9" i="6"/>
  <c r="S10" i="6"/>
  <c r="S17" i="6"/>
  <c r="S18" i="6"/>
  <c r="S19" i="6"/>
  <c r="S20" i="6"/>
  <c r="S21" i="6"/>
  <c r="S22" i="6"/>
  <c r="S23" i="6"/>
  <c r="S24" i="6"/>
  <c r="S25" i="6"/>
  <c r="S26" i="6"/>
  <c r="S31" i="6"/>
  <c r="S32" i="6"/>
  <c r="S34" i="6"/>
  <c r="S44" i="6"/>
  <c r="S45" i="6"/>
  <c r="S46" i="6"/>
  <c r="S47" i="6"/>
  <c r="S52" i="6"/>
  <c r="S53" i="6"/>
  <c r="S54" i="6"/>
  <c r="S55" i="6"/>
  <c r="S56" i="6"/>
  <c r="S57" i="6"/>
  <c r="S58" i="6"/>
  <c r="S60" i="6"/>
  <c r="S61" i="6"/>
  <c r="S69" i="6"/>
  <c r="S71" i="6"/>
  <c r="S7" i="6"/>
  <c r="T35" i="6"/>
  <c r="T36" i="6"/>
  <c r="T37" i="6"/>
  <c r="T39" i="6"/>
  <c r="T40" i="6"/>
  <c r="T41" i="6"/>
  <c r="T43" i="6"/>
  <c r="T48" i="6"/>
  <c r="T49" i="6"/>
  <c r="T50" i="6"/>
  <c r="T51" i="6"/>
  <c r="T69" i="6"/>
  <c r="T71" i="6" l="1"/>
  <c r="T56" i="6"/>
  <c r="T61" i="6" l="1"/>
  <c r="T57" i="6"/>
  <c r="T58" i="6"/>
  <c r="T60" i="6" l="1"/>
  <c r="S48" i="6" l="1"/>
  <c r="S49" i="6"/>
  <c r="T52" i="6"/>
  <c r="T53" i="6"/>
  <c r="T54" i="6"/>
  <c r="T55" i="6"/>
  <c r="T44" i="6"/>
  <c r="T45" i="6"/>
  <c r="T46" i="6"/>
  <c r="T47" i="6" l="1"/>
  <c r="S51" i="6"/>
  <c r="S50" i="6"/>
  <c r="S37" i="6"/>
  <c r="S39" i="6"/>
  <c r="S41" i="6"/>
  <c r="S35" i="6"/>
  <c r="T32" i="6"/>
  <c r="S36" i="6"/>
  <c r="T25" i="6" l="1"/>
  <c r="T26" i="6"/>
  <c r="T34" i="6"/>
  <c r="S40" i="6"/>
  <c r="S43" i="6"/>
  <c r="T18" i="6"/>
  <c r="T17" i="6"/>
  <c r="T22" i="6" l="1"/>
  <c r="T20" i="6"/>
  <c r="T23" i="6"/>
  <c r="T19" i="6"/>
  <c r="T31" i="6"/>
  <c r="T24" i="6"/>
  <c r="T21" i="6"/>
  <c r="T7" i="6"/>
  <c r="T9" i="6"/>
  <c r="T8" i="6"/>
  <c r="T10" i="6"/>
  <c r="P72" i="6" l="1"/>
  <c r="Q72" i="6" l="1"/>
  <c r="O72" i="6" l="1"/>
  <c r="L72" i="6" l="1"/>
  <c r="M72" i="6"/>
  <c r="N72" i="6" l="1"/>
</calcChain>
</file>

<file path=xl/sharedStrings.xml><?xml version="1.0" encoding="utf-8"?>
<sst xmlns="http://schemas.openxmlformats.org/spreadsheetml/2006/main" count="417" uniqueCount="223">
  <si>
    <t>AMBIENTE</t>
  </si>
  <si>
    <t>ITEM</t>
  </si>
  <si>
    <t>Perímetro (m)</t>
  </si>
  <si>
    <t>Altura (m)</t>
  </si>
  <si>
    <t>Desconto por abertura (m²)</t>
  </si>
  <si>
    <t>Área Final (m²)</t>
  </si>
  <si>
    <t>VEDAÇÕES</t>
  </si>
  <si>
    <t>ÁREA</t>
  </si>
  <si>
    <t>PERÍMETRO TOTAL (sem tirar as portas)</t>
  </si>
  <si>
    <t>Paredes existentes</t>
  </si>
  <si>
    <t>Revest. Cerâmico</t>
  </si>
  <si>
    <t>Massa acrílica</t>
  </si>
  <si>
    <t>Pintura Acrílica</t>
  </si>
  <si>
    <t>FORRO</t>
  </si>
  <si>
    <t>ESQUADRIAS</t>
  </si>
  <si>
    <t>P2</t>
  </si>
  <si>
    <t>P1</t>
  </si>
  <si>
    <t>Lavatório suspenso</t>
  </si>
  <si>
    <t>Vaso sanitário</t>
  </si>
  <si>
    <t>Chuveiro</t>
  </si>
  <si>
    <t>EXECUÇÃO</t>
  </si>
  <si>
    <t>P/ Lavatório</t>
  </si>
  <si>
    <t>P/ vaso sanitário</t>
  </si>
  <si>
    <t>P/ chuveiro ("L")</t>
  </si>
  <si>
    <t>P/ chuveiro (Reta)</t>
  </si>
  <si>
    <t/>
  </si>
  <si>
    <t>J2</t>
  </si>
  <si>
    <t>Volume (m³)</t>
  </si>
  <si>
    <t>m²</t>
  </si>
  <si>
    <t>m</t>
  </si>
  <si>
    <t>unid</t>
  </si>
  <si>
    <t>Comprimento (m)</t>
  </si>
  <si>
    <t>UNID</t>
  </si>
  <si>
    <t>UN</t>
  </si>
  <si>
    <t>M</t>
  </si>
  <si>
    <t>INSTALAÇÕES ELÉTRICAS</t>
  </si>
  <si>
    <t>BANCADAS</t>
  </si>
  <si>
    <t>Torneira comum</t>
  </si>
  <si>
    <t>Tipos de Portas</t>
  </si>
  <si>
    <t>Tipos de Janelas</t>
  </si>
  <si>
    <t>Banheiro (1)</t>
  </si>
  <si>
    <t>Banheiro (2)</t>
  </si>
  <si>
    <t>PEÇA SANITÁRIA</t>
  </si>
  <si>
    <t>TOTAIS</t>
  </si>
  <si>
    <t>Bancada de granito (m²)</t>
  </si>
  <si>
    <t>----</t>
  </si>
  <si>
    <t>P4</t>
  </si>
  <si>
    <t>Profundidade (m)</t>
  </si>
  <si>
    <t>Largura (m)</t>
  </si>
  <si>
    <t>P3</t>
  </si>
  <si>
    <t>PINTURA</t>
  </si>
  <si>
    <t>CER.</t>
  </si>
  <si>
    <t>J1</t>
  </si>
  <si>
    <t>VEDAÇÕES E REVESTIMENTOS</t>
  </si>
  <si>
    <t>TUBULAÇÃO</t>
  </si>
  <si>
    <t>25mm</t>
  </si>
  <si>
    <t>50mm</t>
  </si>
  <si>
    <t>Diâmetro</t>
  </si>
  <si>
    <t>REGISTROS</t>
  </si>
  <si>
    <t>Gaveta bruto 1.1/2"</t>
  </si>
  <si>
    <t>Gaveta bruto 3/4"</t>
  </si>
  <si>
    <t>Pressão 3/4"</t>
  </si>
  <si>
    <t>Válvula de descarga</t>
  </si>
  <si>
    <t>LOUÇAS E METAIS</t>
  </si>
  <si>
    <t>1 und</t>
  </si>
  <si>
    <t>ENGATES</t>
  </si>
  <si>
    <t>Cuba de aço inox</t>
  </si>
  <si>
    <t>Lavatório Suspenso</t>
  </si>
  <si>
    <r>
      <rPr>
        <b/>
        <i/>
        <sz val="11"/>
        <color theme="1"/>
        <rFont val="Calibri"/>
        <family val="2"/>
        <scheme val="minor"/>
      </rPr>
      <t>Obs. 1:</t>
    </r>
    <r>
      <rPr>
        <i/>
        <sz val="11"/>
        <color theme="1"/>
        <rFont val="Calibri"/>
        <family val="2"/>
        <scheme val="minor"/>
      </rPr>
      <t xml:space="preserve"> Rasgos, chumbamento e conexões estão inclusos nos serviços de tubulação lançados na Planilha Orçamentária.</t>
    </r>
  </si>
  <si>
    <t>Pint. Teto</t>
  </si>
  <si>
    <t>RESUMO DE ESQUADRIAS</t>
  </si>
  <si>
    <t>PISOS E RODAPÉS</t>
  </si>
  <si>
    <t>INSTALAÇÕES HIDRÁULICAS</t>
  </si>
  <si>
    <t>INSTALAÇÕES SANITÁRIAS</t>
  </si>
  <si>
    <t>40mm</t>
  </si>
  <si>
    <t>100mm</t>
  </si>
  <si>
    <t>CAIXAS</t>
  </si>
  <si>
    <t>Cx. Sifonada 150x150x50</t>
  </si>
  <si>
    <t>ESCAVAÇÃO MANUAL</t>
  </si>
  <si>
    <t>Tubulação 100mm</t>
  </si>
  <si>
    <t>Tubulação 40mm</t>
  </si>
  <si>
    <t>Tubulação 50mm</t>
  </si>
  <si>
    <t>Tubulação</t>
  </si>
  <si>
    <t>Caixa de inspeção</t>
  </si>
  <si>
    <t>Quantidade (m)</t>
  </si>
  <si>
    <t>REATERRO MANUAL</t>
  </si>
  <si>
    <t>Reaterro (%)</t>
  </si>
  <si>
    <t>Volume de Escavação (m³)</t>
  </si>
  <si>
    <t>Volume de Aterro (m³)</t>
  </si>
  <si>
    <t>4 und</t>
  </si>
  <si>
    <t>Cx. de inspeção 60X60cm</t>
  </si>
  <si>
    <t>Cx. de inspeção 80X80cm</t>
  </si>
  <si>
    <t>Quarto PPP (1)</t>
  </si>
  <si>
    <t>Quarto PPP (2)</t>
  </si>
  <si>
    <t>BARRAS DE APOIO</t>
  </si>
  <si>
    <t>Rodabancada  (m)</t>
  </si>
  <si>
    <t>Fachadas</t>
  </si>
  <si>
    <t>Elementos</t>
  </si>
  <si>
    <t>2 unid</t>
  </si>
  <si>
    <r>
      <rPr>
        <b/>
        <sz val="11"/>
        <rFont val="Calibri"/>
        <family val="2"/>
        <scheme val="minor"/>
      </rPr>
      <t>Obs.:</t>
    </r>
    <r>
      <rPr>
        <sz val="11"/>
        <rFont val="Calibri"/>
        <family val="2"/>
        <scheme val="minor"/>
      </rPr>
      <t xml:space="preserve"> Conforme Manual da Caixa Econômica Federal "METODOLOGIA DE ELABORAÇÃO E MANUTENÇÃO DE ORÇAMENTOS REFERENCIAIS Edificações – Versão 1", que estabelece:</t>
    </r>
  </si>
  <si>
    <t>Instalação de Tramas de aço</t>
  </si>
  <si>
    <t>Instalação de Estrutura metálica em tesouras ou treliças</t>
  </si>
  <si>
    <t>Instalação de Rufo em chapa de aço galvanizado</t>
  </si>
  <si>
    <t>Pintura esmalte brilhante, incluso zarcão</t>
  </si>
  <si>
    <t>QTDE.</t>
  </si>
  <si>
    <t>CONSTRUÇÃO DE COBERTURA</t>
  </si>
  <si>
    <t>Construção de contrapiso (m²)</t>
  </si>
  <si>
    <t>3 und</t>
  </si>
  <si>
    <t>Comprimento aterrado (m)</t>
  </si>
  <si>
    <t>Caixa de inspeção (60x60)</t>
  </si>
  <si>
    <t>Caixa de inspeção (80x80)</t>
  </si>
  <si>
    <t>5 und</t>
  </si>
  <si>
    <t>ÁREA (M²)</t>
  </si>
  <si>
    <t>ITENS DIVERSOS</t>
  </si>
  <si>
    <t>Quarto PPP (3)</t>
  </si>
  <si>
    <t>Banheiro (3)</t>
  </si>
  <si>
    <t>Equipamentos</t>
  </si>
  <si>
    <t>Sala de Exames</t>
  </si>
  <si>
    <t>W.C.</t>
  </si>
  <si>
    <t>DML</t>
  </si>
  <si>
    <t>Utilidades</t>
  </si>
  <si>
    <t>Enfermagem e Serviços</t>
  </si>
  <si>
    <t>Recepção/Estar</t>
  </si>
  <si>
    <t>Circulação</t>
  </si>
  <si>
    <t>GRANITINA</t>
  </si>
  <si>
    <t>SOLEIRA</t>
  </si>
  <si>
    <t>---</t>
  </si>
  <si>
    <t>Equip.</t>
  </si>
  <si>
    <t>J3</t>
  </si>
  <si>
    <t>Recepção / Estar</t>
  </si>
  <si>
    <t>J1 (1 folha fixa, 1 folha de correr - 1,00x0,50m)</t>
  </si>
  <si>
    <t>J2 (1 folha fixa, 1 folha de correr - 1,60x1,00m</t>
  </si>
  <si>
    <t>J3 (2 folhas fixas, 2 folhas de correr - 2,00x1,00m)</t>
  </si>
  <si>
    <t>5 unid</t>
  </si>
  <si>
    <t>4 unid</t>
  </si>
  <si>
    <t>Área = 2,50m²</t>
  </si>
  <si>
    <t>Área = 3,20m²</t>
  </si>
  <si>
    <t>Área = 8,00m²</t>
  </si>
  <si>
    <t>Tanque</t>
  </si>
  <si>
    <t>Pia de despejo</t>
  </si>
  <si>
    <t>W.C. - Sla de Exames</t>
  </si>
  <si>
    <t>ATUALIZADO EM 21-09-18</t>
  </si>
  <si>
    <t>LIMPEZA FINAL DA OBRA</t>
  </si>
  <si>
    <t>RESUMO</t>
  </si>
  <si>
    <t>PISO EM GRANITINA (M²)</t>
  </si>
  <si>
    <t>CONTRAPISO (M²)</t>
  </si>
  <si>
    <t>RODAPÉ EM GRANITNA (M)</t>
  </si>
  <si>
    <t>Instalação de Cumeeira</t>
  </si>
  <si>
    <t>COBERTURA</t>
  </si>
  <si>
    <t>Divisória de Gesso acartonado</t>
  </si>
  <si>
    <t>PAREDE</t>
  </si>
  <si>
    <t>REVSTIMENTOS</t>
  </si>
  <si>
    <t>W.C. (1)</t>
  </si>
  <si>
    <t>W.C. (2)</t>
  </si>
  <si>
    <t>W.C. (3)</t>
  </si>
  <si>
    <t>Lançado no DML</t>
  </si>
  <si>
    <t>Lançado no PPP 2</t>
  </si>
  <si>
    <t>Lançado no Equip.</t>
  </si>
  <si>
    <t>Lançado em Diversos Amb.</t>
  </si>
  <si>
    <t>Forro gesso</t>
  </si>
  <si>
    <t>Instalação de Telhas Fibrocimento</t>
  </si>
  <si>
    <t>PORTAL</t>
  </si>
  <si>
    <t>10CM</t>
  </si>
  <si>
    <t>15CM</t>
  </si>
  <si>
    <t>P3 (Portal de 13cm)</t>
  </si>
  <si>
    <t>P3 (Portal de 15cm)</t>
  </si>
  <si>
    <t>P1 (Portal de 15cm)</t>
  </si>
  <si>
    <t>P1 (Portal de 13cm)</t>
  </si>
  <si>
    <t>20mm</t>
  </si>
  <si>
    <t>32mm</t>
  </si>
  <si>
    <t>75mm</t>
  </si>
  <si>
    <t>85mm</t>
  </si>
  <si>
    <t>6 und</t>
  </si>
  <si>
    <t>Gaveta bruto 1"</t>
  </si>
  <si>
    <t>Gaveta bruto 1/2"</t>
  </si>
  <si>
    <t>Gaveta bruto 4"</t>
  </si>
  <si>
    <t>110mm</t>
  </si>
  <si>
    <t>60mm</t>
  </si>
  <si>
    <t>Gaveta bruto 3"</t>
  </si>
  <si>
    <t>FIOS E CABOS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</si>
  <si>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</si>
  <si>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</si>
  <si>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</si>
  <si>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</si>
  <si>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25 MM², ANTI-CHAMA 0,6/1,0 KV, PARA DISTRIBUIÇÃO - FORNECIMENTO E INSTALAÇÃO. AF_12/2015</t>
  </si>
  <si>
    <t>QUADROS E PROTEÇÃO</t>
  </si>
  <si>
    <t>QUADRO DE DISTRIBUICAO DE ENERGIA DE EMBUTIR, EM CHAPA METALICA, PARA 18 DISJUNTORES TERMOMAGNETICOS MONOPOLARES, COM BARRAMENTO TRIFASICO E NEUTRO, FORNECIMENTO E INSTALACAO</t>
  </si>
  <si>
    <t>DISJUNTOR MONOPOLAR TIPO DIN, CORRENTE NOMINAL DE 10A - FORNECIMENTO E INSTALAÇÃO. AF_04/2016</t>
  </si>
  <si>
    <t>DISJUNTOR MONOPOLAR TIPO DIN, CORRENTE NOMINAL DE 16A - FORNECIMENTO E INSTALAÇÃO. AF_04/2016</t>
  </si>
  <si>
    <t>DISJUNTOR BIPOLAR TIPO DIN, CORRENTE NOMINAL DE 25A - FORNECIMENTO E INSTALAÇÃO. AF_04/2016</t>
  </si>
  <si>
    <t>DISJUNTOR TERMOMAGNETICO TRIPOLAR PADRAO NEMA (AMERICANO) 60 A 100A 240V, FORNECIMENTO E INSTALACAO</t>
  </si>
  <si>
    <t>INTERRUPTORES, TOMADAS E APARELHOS</t>
  </si>
  <si>
    <t>INTERRUPTOR SIMPLES (1 MÓDULO), 10A/250V, INCLUINDO SUPORTE E PLACA - FORNECIMENTO E INSTALAÇÃO. AF_12/2015</t>
  </si>
  <si>
    <t>INTERRUPTOR PARALELO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</si>
  <si>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</si>
  <si>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BAIXA DE EMBUTIR (1 MÓDULO), 2P+T 10 A, INCLUINDO SUPORTE E PLACA - FORNECIMENTO E INSTALAÇÃO. AF_12/2015</t>
  </si>
  <si>
    <t>TOMADA BAIXA DE EMBUTIR (2 MÓDULOS), 2P+T 10 A, INCLUINDO SUPORTE E PLACA - FORNECIMENTO E INSTALAÇÃO. AF_12/2015</t>
  </si>
  <si>
    <t>TOMADA MÉDIA DE EMBUTIR (1 MÓDULO), 2P+T 10 A, INCLUINDO SUPORTE E PLACA - FORNECIMENTO E INSTALAÇÃO. AF_12/2015</t>
  </si>
  <si>
    <t>TOMADA ALTA DE EMBUTIR (1 MÓDULO), 2P+T 20 A, INCLUINDO SUPORTE E PLACA - FORNECIMENTO E INSTALAÇÃO. AF_12/2015</t>
  </si>
  <si>
    <t>TOMADA ALTA DE EMBUTIR (1 MÓDULO), 2P+T 10 A, INCLUINDO SUPORTE E PLACA - FORNECIMENTO E INSTALAÇÃO. AF_12/2015</t>
  </si>
  <si>
    <t>LÂMPADAS E LUMINÁRIAS</t>
  </si>
  <si>
    <t>LUMINÁRIA TIPO CALHA, DE SOBREPOR, COM 2 LÂMPADAS TUBULARES DE 36 W - FORNECIMENTO E INSTALAÇÃO. AF_11/2017</t>
  </si>
  <si>
    <t>LUMINÁRIA TIPO PLAFON EM PLÁSTICO, DE SOBREPOR, COM 1 LÂMPADA DE 15 W, - FORNECIMENTO E INSTALAÇÃO. AF_11/2017</t>
  </si>
  <si>
    <t>ELETRODUTOS E CABOS</t>
  </si>
  <si>
    <t>ELETRODUTO FLEXÍVEL CORRUGADO, PVC, DN 25 MM (3/4"), PARA CIRCUITOS TERMINAIS - FORNECIMENTO E INSTALAÇÃO</t>
  </si>
  <si>
    <t>ELETRODUTO RÍGIDO ROSCÁVEL, PVC, DN 20 MM (1/2"), PARA CIRCUITOS TERMINAIS, INSTALADO EM PAREDE - FORNECIMENTO E INSTALAÇÃO. AF_12/2015</t>
  </si>
  <si>
    <t>ELETRODUTO DE ACO GALVANIZADO ELETROLITICO DN 20MM (3/4), TIPO LEVE - FORNECIMENTO E INSTALACAO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</si>
  <si>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</si>
  <si>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</si>
  <si>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4" BAIXA (0,30 M DO PISO), PVC, INSTALADA EM PAREDE - FORNECIMENTO E INSTALAÇÃO. AF_12/2015</t>
  </si>
  <si>
    <t>CAIXA OCTOGONAL 3" X 3", PVC, INSTALADA EM LAJE - FORNECIMENTO E INSTALAÇÃO. AF_12/2015</t>
  </si>
  <si>
    <t>CAIXA DE INSPEÇÃO EM CONCRETO PRÉ-MOLDADO DN 60CM COM TAMPA H= 60CM - FORNECIMENTO E INSTALACAO</t>
  </si>
  <si>
    <t>Ralo sifonado 100-40mm</t>
  </si>
  <si>
    <t>150mm</t>
  </si>
  <si>
    <t>Tubulação 150mm</t>
  </si>
  <si>
    <t>Construção de piso cerãmico (m²)</t>
  </si>
  <si>
    <t>Rodapé cerãmico (m)</t>
  </si>
  <si>
    <t>Construção de Soleira cerâmica (M) (15CM)</t>
  </si>
  <si>
    <t>Construção de Soleira cerâmica (M) (10CM)</t>
  </si>
  <si>
    <r>
      <rPr>
        <b/>
        <i/>
        <sz val="10"/>
        <color theme="1"/>
        <rFont val="Calibri"/>
        <family val="2"/>
        <scheme val="minor"/>
      </rPr>
      <t xml:space="preserve">Obs. 2: </t>
    </r>
    <r>
      <rPr>
        <i/>
        <sz val="10"/>
        <color theme="1"/>
        <rFont val="Calibri"/>
        <family val="2"/>
        <scheme val="minor"/>
      </rPr>
      <t>Os engates referentes aos lavatórios suspensos, estão inclusos nas respectivas composições de custo unitário. Portanto, a quantidade de engate flexível plástico a ser lançada isoladamente na Planilha Orçamentária, corresponde à quantidade de Cubas de aço inox (5 und).</t>
    </r>
  </si>
  <si>
    <t>____________________________________________________________</t>
  </si>
  <si>
    <t>Tamires Silva Rodrigues</t>
  </si>
  <si>
    <t>Engª Civil - CREA-TO 211.152/D-TO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</si>
</sst>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theme="8" tint="0.79998168889431442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2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6" borderId="0" xfId="0" applyFont="1" applyFill="1" applyBorder="1"/>
    <xf numFmtId="0" fontId="14" fillId="0" borderId="0" xfId="0" applyFont="1" applyAlignment="1">
      <alignment horizontal="center" vertical="center"/>
    </xf>
    <xf numFmtId="0" fontId="0" fillId="6" borderId="0" xfId="0" applyFill="1"/>
    <xf numFmtId="0" fontId="4" fillId="0" borderId="0" xfId="0" applyFont="1"/>
    <xf numFmtId="0" fontId="3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6" borderId="3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2" fontId="0" fillId="6" borderId="7" xfId="0" applyNumberFormat="1" applyFill="1" applyBorder="1" applyAlignment="1">
      <alignment horizontal="center" vertical="center"/>
    </xf>
    <xf numFmtId="0" fontId="0" fillId="6" borderId="7" xfId="0" applyFill="1" applyBorder="1"/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 wrapText="1"/>
    </xf>
    <xf numFmtId="2" fontId="0" fillId="6" borderId="11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0" fillId="6" borderId="12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0" fillId="6" borderId="51" xfId="0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2" fontId="10" fillId="6" borderId="4" xfId="0" applyNumberFormat="1" applyFont="1" applyFill="1" applyBorder="1" applyAlignment="1">
      <alignment horizontal="center" vertical="center"/>
    </xf>
    <xf numFmtId="2" fontId="10" fillId="6" borderId="5" xfId="0" applyNumberFormat="1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2" fontId="10" fillId="6" borderId="10" xfId="0" applyNumberFormat="1" applyFont="1" applyFill="1" applyBorder="1" applyAlignment="1">
      <alignment horizontal="center" vertical="center"/>
    </xf>
    <xf numFmtId="2" fontId="10" fillId="6" borderId="11" xfId="0" applyNumberFormat="1" applyFont="1" applyFill="1" applyBorder="1" applyAlignment="1">
      <alignment horizontal="center" vertical="center"/>
    </xf>
    <xf numFmtId="2" fontId="10" fillId="6" borderId="12" xfId="0" applyNumberFormat="1" applyFont="1" applyFill="1" applyBorder="1" applyAlignment="1">
      <alignment horizontal="center" vertical="center"/>
    </xf>
    <xf numFmtId="2" fontId="10" fillId="6" borderId="33" xfId="0" applyNumberFormat="1" applyFont="1" applyFill="1" applyBorder="1" applyAlignment="1">
      <alignment horizontal="center" vertical="center"/>
    </xf>
    <xf numFmtId="2" fontId="10" fillId="6" borderId="22" xfId="0" applyNumberFormat="1" applyFont="1" applyFill="1" applyBorder="1" applyAlignment="1">
      <alignment horizontal="center" vertical="center"/>
    </xf>
    <xf numFmtId="2" fontId="10" fillId="6" borderId="28" xfId="0" applyNumberFormat="1" applyFont="1" applyFill="1" applyBorder="1" applyAlignment="1">
      <alignment horizontal="center" vertical="center"/>
    </xf>
    <xf numFmtId="2" fontId="10" fillId="6" borderId="13" xfId="0" applyNumberFormat="1" applyFont="1" applyFill="1" applyBorder="1" applyAlignment="1">
      <alignment horizontal="center" vertical="center"/>
    </xf>
    <xf numFmtId="2" fontId="10" fillId="6" borderId="29" xfId="0" applyNumberFormat="1" applyFont="1" applyFill="1" applyBorder="1" applyAlignment="1">
      <alignment horizontal="center" vertical="center"/>
    </xf>
    <xf numFmtId="2" fontId="10" fillId="6" borderId="34" xfId="0" applyNumberFormat="1" applyFont="1" applyFill="1" applyBorder="1" applyAlignment="1">
      <alignment horizontal="center" vertical="center"/>
    </xf>
    <xf numFmtId="2" fontId="18" fillId="6" borderId="11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2" fontId="10" fillId="6" borderId="24" xfId="0" applyNumberFormat="1" applyFont="1" applyFill="1" applyBorder="1" applyAlignment="1">
      <alignment horizontal="center" vertical="center"/>
    </xf>
    <xf numFmtId="2" fontId="10" fillId="6" borderId="20" xfId="0" applyNumberFormat="1" applyFont="1" applyFill="1" applyBorder="1" applyAlignment="1">
      <alignment horizontal="center" vertical="center"/>
    </xf>
    <xf numFmtId="2" fontId="10" fillId="6" borderId="18" xfId="0" applyNumberFormat="1" applyFont="1" applyFill="1" applyBorder="1" applyAlignment="1">
      <alignment horizontal="center" vertical="center"/>
    </xf>
    <xf numFmtId="2" fontId="18" fillId="6" borderId="13" xfId="0" applyNumberFormat="1" applyFont="1" applyFill="1" applyBorder="1" applyAlignment="1">
      <alignment horizontal="center" vertical="center"/>
    </xf>
    <xf numFmtId="2" fontId="18" fillId="6" borderId="22" xfId="0" applyNumberFormat="1" applyFont="1" applyFill="1" applyBorder="1" applyAlignment="1">
      <alignment horizontal="center" vertical="center"/>
    </xf>
    <xf numFmtId="2" fontId="10" fillId="6" borderId="40" xfId="0" applyNumberFormat="1" applyFont="1" applyFill="1" applyBorder="1" applyAlignment="1">
      <alignment horizontal="center" vertical="center"/>
    </xf>
    <xf numFmtId="2" fontId="3" fillId="9" borderId="27" xfId="0" applyNumberFormat="1" applyFont="1" applyFill="1" applyBorder="1" applyAlignment="1">
      <alignment horizontal="center" vertical="center"/>
    </xf>
    <xf numFmtId="2" fontId="3" fillId="9" borderId="26" xfId="0" applyNumberFormat="1" applyFont="1" applyFill="1" applyBorder="1" applyAlignment="1">
      <alignment horizontal="center" vertical="center"/>
    </xf>
    <xf numFmtId="2" fontId="3" fillId="9" borderId="39" xfId="0" applyNumberFormat="1" applyFont="1" applyFill="1" applyBorder="1" applyAlignment="1">
      <alignment horizontal="center" vertical="center"/>
    </xf>
    <xf numFmtId="0" fontId="13" fillId="6" borderId="66" xfId="0" applyFont="1" applyFill="1" applyBorder="1" applyAlignment="1">
      <alignment horizontal="left" vertical="center" wrapText="1"/>
    </xf>
    <xf numFmtId="0" fontId="13" fillId="6" borderId="65" xfId="0" applyFont="1" applyFill="1" applyBorder="1" applyAlignment="1">
      <alignment horizontal="left" vertical="center" wrapText="1"/>
    </xf>
    <xf numFmtId="44" fontId="0" fillId="0" borderId="0" xfId="1" applyFont="1"/>
    <xf numFmtId="2" fontId="0" fillId="0" borderId="0" xfId="0" applyNumberFormat="1"/>
    <xf numFmtId="0" fontId="0" fillId="6" borderId="49" xfId="0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 wrapText="1"/>
    </xf>
    <xf numFmtId="2" fontId="13" fillId="6" borderId="13" xfId="0" applyNumberFormat="1" applyFont="1" applyFill="1" applyBorder="1" applyAlignment="1">
      <alignment horizontal="center" vertical="center"/>
    </xf>
    <xf numFmtId="2" fontId="13" fillId="6" borderId="28" xfId="0" applyNumberFormat="1" applyFont="1" applyFill="1" applyBorder="1" applyAlignment="1">
      <alignment horizontal="center" vertical="center"/>
    </xf>
    <xf numFmtId="2" fontId="13" fillId="6" borderId="6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2" fontId="13" fillId="6" borderId="7" xfId="0" applyNumberFormat="1" applyFont="1" applyFill="1" applyBorder="1" applyAlignment="1">
      <alignment horizontal="center" vertical="center"/>
    </xf>
    <xf numFmtId="2" fontId="13" fillId="6" borderId="8" xfId="0" applyNumberFormat="1" applyFont="1" applyFill="1" applyBorder="1" applyAlignment="1">
      <alignment horizontal="center" vertical="center"/>
    </xf>
    <xf numFmtId="2" fontId="6" fillId="9" borderId="27" xfId="0" applyNumberFormat="1" applyFont="1" applyFill="1" applyBorder="1" applyAlignment="1">
      <alignment horizontal="center" vertical="center"/>
    </xf>
    <xf numFmtId="2" fontId="6" fillId="9" borderId="26" xfId="0" applyNumberFormat="1" applyFont="1" applyFill="1" applyBorder="1" applyAlignment="1">
      <alignment horizontal="center" vertical="center"/>
    </xf>
    <xf numFmtId="2" fontId="6" fillId="9" borderId="32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6" xfId="0" applyFill="1" applyBorder="1"/>
    <xf numFmtId="0" fontId="0" fillId="6" borderId="10" xfId="0" applyFill="1" applyBorder="1"/>
    <xf numFmtId="0" fontId="0" fillId="6" borderId="12" xfId="0" applyFill="1" applyBorder="1" applyAlignment="1">
      <alignment horizontal="center"/>
    </xf>
    <xf numFmtId="2" fontId="1" fillId="9" borderId="56" xfId="0" applyNumberFormat="1" applyFont="1" applyFill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2" fontId="18" fillId="6" borderId="34" xfId="0" applyNumberFormat="1" applyFont="1" applyFill="1" applyBorder="1" applyAlignment="1">
      <alignment horizontal="center" vertical="center"/>
    </xf>
    <xf numFmtId="2" fontId="10" fillId="10" borderId="3" xfId="0" applyNumberFormat="1" applyFont="1" applyFill="1" applyBorder="1" applyAlignment="1">
      <alignment horizontal="center" vertical="center"/>
    </xf>
    <xf numFmtId="2" fontId="10" fillId="10" borderId="4" xfId="0" applyNumberFormat="1" applyFont="1" applyFill="1" applyBorder="1" applyAlignment="1">
      <alignment horizontal="center" vertical="center"/>
    </xf>
    <xf numFmtId="2" fontId="10" fillId="10" borderId="5" xfId="0" applyNumberFormat="1" applyFont="1" applyFill="1" applyBorder="1" applyAlignment="1">
      <alignment horizontal="center" vertical="center"/>
    </xf>
    <xf numFmtId="2" fontId="10" fillId="10" borderId="7" xfId="0" applyNumberFormat="1" applyFont="1" applyFill="1" applyBorder="1" applyAlignment="1">
      <alignment horizontal="center" vertical="center"/>
    </xf>
    <xf numFmtId="2" fontId="10" fillId="10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2" fontId="18" fillId="6" borderId="20" xfId="0" applyNumberFormat="1" applyFont="1" applyFill="1" applyBorder="1" applyAlignment="1">
      <alignment horizontal="center" vertical="center"/>
    </xf>
    <xf numFmtId="2" fontId="10" fillId="10" borderId="22" xfId="0" applyNumberFormat="1" applyFont="1" applyFill="1" applyBorder="1" applyAlignment="1">
      <alignment horizontal="center" vertical="center"/>
    </xf>
    <xf numFmtId="2" fontId="10" fillId="6" borderId="4" xfId="0" quotePrefix="1" applyNumberFormat="1" applyFont="1" applyFill="1" applyBorder="1" applyAlignment="1">
      <alignment horizontal="center" vertical="center"/>
    </xf>
    <xf numFmtId="2" fontId="10" fillId="6" borderId="20" xfId="0" quotePrefix="1" applyNumberFormat="1" applyFont="1" applyFill="1" applyBorder="1" applyAlignment="1">
      <alignment horizontal="center" vertical="center"/>
    </xf>
    <xf numFmtId="2" fontId="10" fillId="10" borderId="6" xfId="0" quotePrefix="1" applyNumberFormat="1" applyFont="1" applyFill="1" applyBorder="1" applyAlignment="1">
      <alignment horizontal="center" vertical="center"/>
    </xf>
    <xf numFmtId="2" fontId="10" fillId="6" borderId="7" xfId="0" quotePrefix="1" applyNumberFormat="1" applyFont="1" applyFill="1" applyBorder="1" applyAlignment="1">
      <alignment horizontal="center" vertical="center"/>
    </xf>
    <xf numFmtId="2" fontId="10" fillId="10" borderId="6" xfId="0" applyNumberFormat="1" applyFont="1" applyFill="1" applyBorder="1" applyAlignment="1">
      <alignment horizontal="center" vertical="center"/>
    </xf>
    <xf numFmtId="2" fontId="10" fillId="10" borderId="33" xfId="0" applyNumberFormat="1" applyFont="1" applyFill="1" applyBorder="1" applyAlignment="1">
      <alignment horizontal="center" vertical="center"/>
    </xf>
    <xf numFmtId="2" fontId="10" fillId="10" borderId="34" xfId="0" applyNumberFormat="1" applyFont="1" applyFill="1" applyBorder="1" applyAlignment="1">
      <alignment horizontal="center" vertical="center"/>
    </xf>
    <xf numFmtId="2" fontId="10" fillId="6" borderId="34" xfId="0" quotePrefix="1" applyNumberFormat="1" applyFont="1" applyFill="1" applyBorder="1" applyAlignment="1">
      <alignment horizontal="center" vertical="center"/>
    </xf>
    <xf numFmtId="0" fontId="8" fillId="6" borderId="77" xfId="0" applyFont="1" applyFill="1" applyBorder="1" applyAlignment="1">
      <alignment horizontal="center" vertical="center"/>
    </xf>
    <xf numFmtId="0" fontId="8" fillId="6" borderId="77" xfId="0" quotePrefix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left" vertical="center" wrapText="1"/>
    </xf>
    <xf numFmtId="0" fontId="8" fillId="6" borderId="78" xfId="0" applyFont="1" applyFill="1" applyBorder="1" applyAlignment="1">
      <alignment horizontal="center" vertical="center"/>
    </xf>
    <xf numFmtId="2" fontId="22" fillId="6" borderId="7" xfId="0" applyNumberFormat="1" applyFont="1" applyFill="1" applyBorder="1" applyAlignment="1">
      <alignment horizontal="center" vertical="center"/>
    </xf>
    <xf numFmtId="2" fontId="22" fillId="6" borderId="8" xfId="0" applyNumberFormat="1" applyFont="1" applyFill="1" applyBorder="1" applyAlignment="1">
      <alignment horizontal="center" vertical="center"/>
    </xf>
    <xf numFmtId="2" fontId="22" fillId="6" borderId="6" xfId="0" applyNumberFormat="1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2" fontId="22" fillId="6" borderId="13" xfId="0" applyNumberFormat="1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8" fillId="6" borderId="72" xfId="0" applyFont="1" applyFill="1" applyBorder="1" applyAlignment="1">
      <alignment horizontal="left" vertical="center" wrapText="1"/>
    </xf>
    <xf numFmtId="2" fontId="8" fillId="10" borderId="73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8" fillId="10" borderId="51" xfId="0" applyNumberFormat="1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2" fontId="8" fillId="10" borderId="54" xfId="0" applyNumberFormat="1" applyFont="1" applyFill="1" applyBorder="1" applyAlignment="1">
      <alignment horizontal="center" vertical="center"/>
    </xf>
    <xf numFmtId="2" fontId="3" fillId="6" borderId="26" xfId="0" quotePrefix="1" applyNumberFormat="1" applyFont="1" applyFill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4" fillId="0" borderId="0" xfId="0" applyNumberFormat="1" applyFont="1"/>
    <xf numFmtId="2" fontId="1" fillId="9" borderId="57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2" fontId="1" fillId="6" borderId="11" xfId="0" applyNumberFormat="1" applyFont="1" applyFill="1" applyBorder="1" applyAlignment="1">
      <alignment horizontal="center" vertical="center"/>
    </xf>
    <xf numFmtId="2" fontId="18" fillId="6" borderId="3" xfId="0" applyNumberFormat="1" applyFont="1" applyFill="1" applyBorder="1" applyAlignment="1">
      <alignment horizontal="center" vertical="center"/>
    </xf>
    <xf numFmtId="0" fontId="18" fillId="6" borderId="0" xfId="0" applyFont="1" applyFill="1" applyBorder="1"/>
    <xf numFmtId="0" fontId="18" fillId="6" borderId="4" xfId="0" applyFont="1" applyFill="1" applyBorder="1" applyAlignment="1">
      <alignment horizontal="center" vertical="center"/>
    </xf>
    <xf numFmtId="0" fontId="18" fillId="6" borderId="5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2" fontId="18" fillId="6" borderId="8" xfId="0" applyNumberFormat="1" applyFont="1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0" fontId="18" fillId="6" borderId="8" xfId="0" applyNumberFormat="1" applyFont="1" applyFill="1" applyBorder="1" applyAlignment="1">
      <alignment horizontal="center" vertical="center"/>
    </xf>
    <xf numFmtId="2" fontId="18" fillId="6" borderId="10" xfId="0" applyNumberFormat="1" applyFont="1" applyFill="1" applyBorder="1" applyAlignment="1">
      <alignment horizontal="center" vertical="center"/>
    </xf>
    <xf numFmtId="2" fontId="18" fillId="6" borderId="12" xfId="0" applyNumberFormat="1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2" fontId="18" fillId="6" borderId="33" xfId="0" applyNumberFormat="1" applyFont="1" applyFill="1" applyBorder="1" applyAlignment="1">
      <alignment horizontal="center" vertical="center"/>
    </xf>
    <xf numFmtId="2" fontId="18" fillId="6" borderId="23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2" fontId="18" fillId="6" borderId="28" xfId="0" applyNumberFormat="1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69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2" fontId="18" fillId="6" borderId="0" xfId="0" applyNumberFormat="1" applyFont="1" applyFill="1" applyBorder="1"/>
    <xf numFmtId="2" fontId="18" fillId="6" borderId="8" xfId="0" applyNumberFormat="1" applyFont="1" applyFill="1" applyBorder="1" applyAlignment="1">
      <alignment horizontal="center" vertical="center" wrapText="1"/>
    </xf>
    <xf numFmtId="2" fontId="18" fillId="6" borderId="3" xfId="0" applyNumberFormat="1" applyFont="1" applyFill="1" applyBorder="1" applyAlignment="1">
      <alignment horizontal="center"/>
    </xf>
    <xf numFmtId="2" fontId="18" fillId="6" borderId="4" xfId="0" applyNumberFormat="1" applyFont="1" applyFill="1" applyBorder="1" applyAlignment="1">
      <alignment horizontal="center"/>
    </xf>
    <xf numFmtId="2" fontId="18" fillId="6" borderId="5" xfId="0" applyNumberFormat="1" applyFont="1" applyFill="1" applyBorder="1" applyAlignment="1">
      <alignment horizontal="center"/>
    </xf>
    <xf numFmtId="2" fontId="18" fillId="6" borderId="7" xfId="0" applyNumberFormat="1" applyFont="1" applyFill="1" applyBorder="1" applyAlignment="1">
      <alignment horizontal="center"/>
    </xf>
    <xf numFmtId="2" fontId="18" fillId="6" borderId="11" xfId="0" applyNumberFormat="1" applyFont="1" applyFill="1" applyBorder="1" applyAlignment="1">
      <alignment horizontal="center"/>
    </xf>
    <xf numFmtId="2" fontId="18" fillId="6" borderId="25" xfId="0" applyNumberFormat="1" applyFont="1" applyFill="1" applyBorder="1" applyAlignment="1">
      <alignment horizontal="center" vertical="center"/>
    </xf>
    <xf numFmtId="2" fontId="18" fillId="6" borderId="5" xfId="0" applyNumberFormat="1" applyFont="1" applyFill="1" applyBorder="1" applyAlignment="1">
      <alignment horizontal="center" vertical="center" wrapText="1"/>
    </xf>
    <xf numFmtId="2" fontId="18" fillId="6" borderId="22" xfId="0" applyNumberFormat="1" applyFont="1" applyFill="1" applyBorder="1" applyAlignment="1">
      <alignment horizontal="center"/>
    </xf>
    <xf numFmtId="2" fontId="18" fillId="6" borderId="34" xfId="0" applyNumberFormat="1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NumberFormat="1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2" fontId="10" fillId="6" borderId="0" xfId="0" applyNumberFormat="1" applyFont="1" applyFill="1" applyBorder="1"/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2" fontId="10" fillId="6" borderId="69" xfId="0" applyNumberFormat="1" applyFont="1" applyFill="1" applyBorder="1" applyAlignment="1">
      <alignment horizontal="center" vertical="center"/>
    </xf>
    <xf numFmtId="2" fontId="10" fillId="6" borderId="41" xfId="0" applyNumberFormat="1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 wrapText="1"/>
    </xf>
    <xf numFmtId="0" fontId="10" fillId="6" borderId="0" xfId="0" applyFont="1" applyFill="1" applyBorder="1"/>
    <xf numFmtId="0" fontId="10" fillId="6" borderId="13" xfId="0" applyFont="1" applyFill="1" applyBorder="1" applyAlignment="1">
      <alignment horizontal="center" vertical="center"/>
    </xf>
    <xf numFmtId="0" fontId="23" fillId="6" borderId="27" xfId="0" quotePrefix="1" applyFont="1" applyFill="1" applyBorder="1" applyAlignment="1">
      <alignment horizontal="center" vertical="center"/>
    </xf>
    <xf numFmtId="0" fontId="23" fillId="6" borderId="26" xfId="0" quotePrefix="1" applyFont="1" applyFill="1" applyBorder="1" applyAlignment="1">
      <alignment horizontal="center" vertical="center"/>
    </xf>
    <xf numFmtId="0" fontId="23" fillId="6" borderId="39" xfId="0" quotePrefix="1" applyFont="1" applyFill="1" applyBorder="1" applyAlignment="1">
      <alignment horizontal="center" vertical="center"/>
    </xf>
    <xf numFmtId="2" fontId="23" fillId="9" borderId="39" xfId="0" applyNumberFormat="1" applyFont="1" applyFill="1" applyBorder="1" applyAlignment="1">
      <alignment horizontal="center" vertical="center"/>
    </xf>
    <xf numFmtId="2" fontId="23" fillId="9" borderId="27" xfId="0" applyNumberFormat="1" applyFont="1" applyFill="1" applyBorder="1" applyAlignment="1">
      <alignment horizontal="center" vertical="center"/>
    </xf>
    <xf numFmtId="2" fontId="23" fillId="9" borderId="26" xfId="0" applyNumberFormat="1" applyFont="1" applyFill="1" applyBorder="1" applyAlignment="1">
      <alignment horizontal="center" vertical="center"/>
    </xf>
    <xf numFmtId="0" fontId="10" fillId="6" borderId="5" xfId="0" applyNumberFormat="1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horizontal="center" vertical="center"/>
    </xf>
    <xf numFmtId="0" fontId="10" fillId="6" borderId="12" xfId="0" applyNumberFormat="1" applyFont="1" applyFill="1" applyBorder="1" applyAlignment="1">
      <alignment horizontal="center" vertical="center"/>
    </xf>
    <xf numFmtId="0" fontId="10" fillId="6" borderId="29" xfId="0" applyNumberFormat="1" applyFont="1" applyFill="1" applyBorder="1" applyAlignment="1">
      <alignment horizontal="center" vertical="center"/>
    </xf>
    <xf numFmtId="0" fontId="10" fillId="6" borderId="69" xfId="0" applyFont="1" applyFill="1" applyBorder="1" applyAlignment="1">
      <alignment horizontal="center" vertical="center"/>
    </xf>
    <xf numFmtId="0" fontId="10" fillId="6" borderId="41" xfId="0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34" xfId="0" applyNumberFormat="1" applyFont="1" applyFill="1" applyBorder="1" applyAlignment="1">
      <alignment horizontal="center" vertical="center"/>
    </xf>
    <xf numFmtId="2" fontId="10" fillId="6" borderId="12" xfId="0" applyNumberFormat="1" applyFont="1" applyFill="1" applyBorder="1" applyAlignment="1">
      <alignment horizontal="center" vertical="center" wrapText="1"/>
    </xf>
    <xf numFmtId="2" fontId="10" fillId="6" borderId="8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2" fontId="10" fillId="6" borderId="4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2" fontId="10" fillId="6" borderId="7" xfId="0" applyNumberFormat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2" fontId="18" fillId="6" borderId="11" xfId="0" applyNumberFormat="1" applyFont="1" applyFill="1" applyBorder="1" applyAlignment="1">
      <alignment horizontal="center" vertical="center" wrapText="1"/>
    </xf>
    <xf numFmtId="2" fontId="10" fillId="6" borderId="80" xfId="0" applyNumberFormat="1" applyFont="1" applyFill="1" applyBorder="1" applyAlignment="1">
      <alignment horizontal="center" vertical="center"/>
    </xf>
    <xf numFmtId="2" fontId="10" fillId="6" borderId="70" xfId="0" applyNumberFormat="1" applyFont="1" applyFill="1" applyBorder="1" applyAlignment="1">
      <alignment horizontal="center" vertical="center"/>
    </xf>
    <xf numFmtId="2" fontId="10" fillId="6" borderId="81" xfId="0" applyNumberFormat="1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8" fillId="6" borderId="65" xfId="0" quotePrefix="1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2" fontId="0" fillId="6" borderId="53" xfId="0" applyNumberFormat="1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13" fillId="6" borderId="18" xfId="0" applyFont="1" applyFill="1" applyBorder="1" applyAlignment="1">
      <alignment horizontal="left" vertical="center" wrapText="1"/>
    </xf>
    <xf numFmtId="0" fontId="8" fillId="6" borderId="64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50" xfId="0" quotePrefix="1" applyBorder="1" applyAlignment="1">
      <alignment horizontal="center" vertical="center"/>
    </xf>
    <xf numFmtId="0" fontId="0" fillId="0" borderId="51" xfId="0" quotePrefix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0" fontId="0" fillId="0" borderId="54" xfId="0" quotePrefix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8" fillId="6" borderId="53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6" borderId="48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0" borderId="52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8" borderId="14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0" fillId="6" borderId="5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3" fillId="6" borderId="49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65" xfId="0" applyFill="1" applyBorder="1" applyAlignment="1">
      <alignment horizontal="left"/>
    </xf>
    <xf numFmtId="0" fontId="0" fillId="6" borderId="79" xfId="0" applyFill="1" applyBorder="1" applyAlignment="1">
      <alignment horizontal="left"/>
    </xf>
    <xf numFmtId="0" fontId="0" fillId="6" borderId="70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left" vertical="center" wrapText="1"/>
    </xf>
    <xf numFmtId="0" fontId="24" fillId="6" borderId="58" xfId="0" applyFont="1" applyFill="1" applyBorder="1" applyAlignment="1">
      <alignment horizontal="center" vertical="center" wrapText="1"/>
    </xf>
    <xf numFmtId="0" fontId="24" fillId="6" borderId="59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 wrapText="1"/>
    </xf>
    <xf numFmtId="0" fontId="24" fillId="6" borderId="61" xfId="0" applyFont="1" applyFill="1" applyBorder="1" applyAlignment="1">
      <alignment horizontal="center" vertical="center" wrapText="1"/>
    </xf>
    <xf numFmtId="0" fontId="24" fillId="6" borderId="62" xfId="0" applyFont="1" applyFill="1" applyBorder="1" applyAlignment="1">
      <alignment horizontal="center" vertical="center" wrapText="1"/>
    </xf>
    <xf numFmtId="0" fontId="24" fillId="6" borderId="63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 wrapText="1"/>
    </xf>
    <xf numFmtId="0" fontId="23" fillId="6" borderId="82" xfId="0" applyFont="1" applyFill="1" applyBorder="1" applyAlignment="1">
      <alignment horizontal="center" wrapText="1"/>
    </xf>
    <xf numFmtId="0" fontId="23" fillId="6" borderId="44" xfId="0" applyFont="1" applyFill="1" applyBorder="1" applyAlignment="1">
      <alignment horizont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85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2" fontId="18" fillId="6" borderId="5" xfId="0" applyNumberFormat="1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 wrapText="1"/>
    </xf>
    <xf numFmtId="2" fontId="13" fillId="6" borderId="86" xfId="0" applyNumberFormat="1" applyFont="1" applyFill="1" applyBorder="1" applyAlignment="1">
      <alignment horizontal="center" vertical="center"/>
    </xf>
    <xf numFmtId="2" fontId="13" fillId="6" borderId="77" xfId="0" applyNumberFormat="1" applyFont="1" applyFill="1" applyBorder="1" applyAlignment="1">
      <alignment horizontal="center" vertical="center"/>
    </xf>
    <xf numFmtId="2" fontId="6" fillId="9" borderId="57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2" fontId="18" fillId="6" borderId="24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23" fillId="6" borderId="0" xfId="0" applyFont="1" applyFill="1" applyBorder="1"/>
    <xf numFmtId="0" fontId="0" fillId="4" borderId="0" xfId="0" applyFill="1" applyBorder="1"/>
    <xf numFmtId="0" fontId="1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24</xdr:row>
      <xdr:rowOff>35716</xdr:rowOff>
    </xdr:from>
    <xdr:to>
      <xdr:col>4</xdr:col>
      <xdr:colOff>881063</xdr:colOff>
      <xdr:row>27</xdr:row>
      <xdr:rowOff>159438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34754341"/>
          <a:ext cx="5643563" cy="695222"/>
        </a:xfrm>
        <a:prstGeom prst="rect">
          <a:avLst/>
        </a:prstGeom>
      </xdr:spPr>
    </xdr:pic>
    <xdr:clientData/>
  </xdr:twoCellAnchor>
  <xdr:twoCellAnchor editAs="oneCell">
    <xdr:from>
      <xdr:col>0</xdr:col>
      <xdr:colOff>54750</xdr:colOff>
      <xdr:row>28</xdr:row>
      <xdr:rowOff>30936</xdr:rowOff>
    </xdr:from>
    <xdr:to>
      <xdr:col>4</xdr:col>
      <xdr:colOff>767998</xdr:colOff>
      <xdr:row>31</xdr:row>
      <xdr:rowOff>130967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50" y="35511561"/>
          <a:ext cx="5630529" cy="67153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180938</xdr:colOff>
      <xdr:row>14</xdr:row>
      <xdr:rowOff>73781</xdr:rowOff>
    </xdr:from>
    <xdr:to>
      <xdr:col>4</xdr:col>
      <xdr:colOff>881063</xdr:colOff>
      <xdr:row>18</xdr:row>
      <xdr:rowOff>34609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38" y="32887406"/>
          <a:ext cx="5617406" cy="72282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18</xdr:row>
      <xdr:rowOff>178591</xdr:rowOff>
    </xdr:from>
    <xdr:to>
      <xdr:col>4</xdr:col>
      <xdr:colOff>809625</xdr:colOff>
      <xdr:row>23</xdr:row>
      <xdr:rowOff>131054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3754216"/>
          <a:ext cx="5584031" cy="904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  <pageSetUpPr fitToPage="1"/>
  </sheetPr>
  <dimension ref="A2:O26"/>
  <sheetViews>
    <sheetView view="pageBreakPreview" zoomScale="70" zoomScaleNormal="100" zoomScaleSheetLayoutView="70" workbookViewId="0">
      <pane ySplit="6" topLeftCell="A7" activePane="bottomLeft" state="frozen"/>
      <selection pane="bottomLeft" activeCell="G26" sqref="G26"/>
    </sheetView>
  </sheetViews>
  <sheetFormatPr defaultRowHeight="18.75" x14ac:dyDescent="0.3"/>
  <cols>
    <col min="1" max="1" width="14.140625" style="11" customWidth="1"/>
    <col min="2" max="2" width="26.140625" style="18" customWidth="1"/>
    <col min="3" max="3" width="15.85546875" style="4" customWidth="1"/>
    <col min="4" max="5" width="17" style="4" customWidth="1"/>
    <col min="6" max="7" width="17.85546875" style="4" customWidth="1"/>
    <col min="8" max="8" width="16.7109375" style="11" customWidth="1"/>
    <col min="9" max="9" width="15.7109375" style="11" customWidth="1"/>
    <col min="10" max="10" width="11.42578125" style="11" customWidth="1"/>
    <col min="11" max="11" width="9.140625" style="4"/>
    <col min="12" max="12" width="16.7109375" style="4" customWidth="1"/>
    <col min="13" max="16384" width="9.140625" style="11"/>
  </cols>
  <sheetData>
    <row r="2" spans="1:12" ht="19.5" thickBot="1" x14ac:dyDescent="0.35"/>
    <row r="3" spans="1:12" ht="30.75" customHeight="1" thickBot="1" x14ac:dyDescent="0.35">
      <c r="A3" s="318" t="s">
        <v>71</v>
      </c>
      <c r="B3" s="319"/>
      <c r="C3" s="319"/>
      <c r="D3" s="319"/>
      <c r="E3" s="319"/>
      <c r="F3" s="319"/>
      <c r="G3" s="319"/>
      <c r="H3" s="320"/>
      <c r="I3" s="12"/>
    </row>
    <row r="4" spans="1:12" ht="19.5" thickBot="1" x14ac:dyDescent="0.35"/>
    <row r="5" spans="1:12" ht="19.5" thickBot="1" x14ac:dyDescent="0.35">
      <c r="A5" s="13"/>
      <c r="B5" s="19"/>
      <c r="C5" s="323" t="s">
        <v>124</v>
      </c>
      <c r="D5" s="324"/>
      <c r="E5" s="325"/>
      <c r="F5" s="324" t="s">
        <v>125</v>
      </c>
      <c r="G5" s="324"/>
      <c r="H5" s="325"/>
      <c r="I5" s="14"/>
    </row>
    <row r="6" spans="1:12" ht="73.5" customHeight="1" thickBot="1" x14ac:dyDescent="0.35">
      <c r="A6" s="38" t="s">
        <v>1</v>
      </c>
      <c r="B6" s="42" t="s">
        <v>0</v>
      </c>
      <c r="C6" s="44" t="s">
        <v>216</v>
      </c>
      <c r="D6" s="45" t="s">
        <v>215</v>
      </c>
      <c r="E6" s="46" t="s">
        <v>106</v>
      </c>
      <c r="F6" s="45" t="s">
        <v>217</v>
      </c>
      <c r="G6" s="145" t="s">
        <v>218</v>
      </c>
      <c r="H6" s="46" t="s">
        <v>106</v>
      </c>
      <c r="K6" s="15" t="s">
        <v>7</v>
      </c>
      <c r="L6" s="15" t="s">
        <v>8</v>
      </c>
    </row>
    <row r="7" spans="1:12" x14ac:dyDescent="0.3">
      <c r="A7" s="40">
        <v>1</v>
      </c>
      <c r="B7" s="109" t="s">
        <v>92</v>
      </c>
      <c r="C7" s="139">
        <f>16.14-1.9</f>
        <v>14.24</v>
      </c>
      <c r="D7" s="140">
        <v>14.56</v>
      </c>
      <c r="E7" s="141">
        <f t="shared" ref="E7:E16" si="0">D7</f>
        <v>14.56</v>
      </c>
      <c r="F7" s="148" t="s">
        <v>126</v>
      </c>
      <c r="G7" s="100">
        <v>1</v>
      </c>
      <c r="H7" s="79">
        <f>ROUND(G7*0.1,2)</f>
        <v>0.1</v>
      </c>
      <c r="J7" s="181">
        <f>D7+H7</f>
        <v>14.66</v>
      </c>
      <c r="K7" s="16"/>
    </row>
    <row r="8" spans="1:12" x14ac:dyDescent="0.3">
      <c r="A8" s="41">
        <v>2</v>
      </c>
      <c r="B8" s="110" t="s">
        <v>40</v>
      </c>
      <c r="C8" s="150" t="s">
        <v>126</v>
      </c>
      <c r="D8" s="142">
        <v>4.82</v>
      </c>
      <c r="E8" s="143">
        <f t="shared" si="0"/>
        <v>4.82</v>
      </c>
      <c r="F8" s="81">
        <v>0.9</v>
      </c>
      <c r="G8" s="149" t="s">
        <v>126</v>
      </c>
      <c r="H8" s="144">
        <f>ROUND(F8*0.15,2)</f>
        <v>0.14000000000000001</v>
      </c>
      <c r="J8" s="181">
        <f t="shared" ref="J8:J20" si="1">D8+H8</f>
        <v>4.96</v>
      </c>
      <c r="K8" s="16"/>
    </row>
    <row r="9" spans="1:12" x14ac:dyDescent="0.3">
      <c r="A9" s="41">
        <v>3</v>
      </c>
      <c r="B9" s="110" t="s">
        <v>93</v>
      </c>
      <c r="C9" s="152">
        <f>15.56-1.9</f>
        <v>13.66</v>
      </c>
      <c r="D9" s="142">
        <v>14.78</v>
      </c>
      <c r="E9" s="143">
        <f t="shared" si="0"/>
        <v>14.78</v>
      </c>
      <c r="F9" s="81" t="s">
        <v>126</v>
      </c>
      <c r="G9" s="149">
        <v>1</v>
      </c>
      <c r="H9" s="83">
        <f>ROUND(G9*0.1,2)</f>
        <v>0.1</v>
      </c>
      <c r="J9" s="181">
        <f t="shared" si="1"/>
        <v>14.879999999999999</v>
      </c>
      <c r="K9" s="16"/>
    </row>
    <row r="10" spans="1:12" x14ac:dyDescent="0.3">
      <c r="A10" s="41">
        <v>4</v>
      </c>
      <c r="B10" s="110" t="s">
        <v>41</v>
      </c>
      <c r="C10" s="150" t="s">
        <v>126</v>
      </c>
      <c r="D10" s="142">
        <v>4.93</v>
      </c>
      <c r="E10" s="143">
        <f t="shared" si="0"/>
        <v>4.93</v>
      </c>
      <c r="F10" s="81">
        <v>0.9</v>
      </c>
      <c r="G10" s="149" t="s">
        <v>126</v>
      </c>
      <c r="H10" s="144">
        <f>ROUND(F10*0.15,2)</f>
        <v>0.14000000000000001</v>
      </c>
      <c r="J10" s="181">
        <f t="shared" si="1"/>
        <v>5.0699999999999994</v>
      </c>
      <c r="K10" s="16"/>
    </row>
    <row r="11" spans="1:12" x14ac:dyDescent="0.3">
      <c r="A11" s="41">
        <v>5</v>
      </c>
      <c r="B11" s="110" t="s">
        <v>114</v>
      </c>
      <c r="C11" s="152">
        <f>20.32-1.9</f>
        <v>18.420000000000002</v>
      </c>
      <c r="D11" s="142">
        <v>20.04</v>
      </c>
      <c r="E11" s="143">
        <f t="shared" si="0"/>
        <v>20.04</v>
      </c>
      <c r="F11" s="81" t="s">
        <v>126</v>
      </c>
      <c r="G11" s="149">
        <v>1</v>
      </c>
      <c r="H11" s="83">
        <f>ROUND(G11*0.1,2)</f>
        <v>0.1</v>
      </c>
      <c r="J11" s="181">
        <f t="shared" si="1"/>
        <v>20.14</v>
      </c>
      <c r="K11" s="16"/>
    </row>
    <row r="12" spans="1:12" x14ac:dyDescent="0.3">
      <c r="A12" s="41">
        <v>6</v>
      </c>
      <c r="B12" s="110" t="s">
        <v>115</v>
      </c>
      <c r="C12" s="150" t="s">
        <v>126</v>
      </c>
      <c r="D12" s="142">
        <v>4.58</v>
      </c>
      <c r="E12" s="143">
        <f t="shared" si="0"/>
        <v>4.58</v>
      </c>
      <c r="F12" s="81">
        <v>0.9</v>
      </c>
      <c r="G12" s="149" t="s">
        <v>126</v>
      </c>
      <c r="H12" s="144">
        <f>ROUND(F12*0.15,2)</f>
        <v>0.14000000000000001</v>
      </c>
      <c r="J12" s="181">
        <f t="shared" si="1"/>
        <v>4.72</v>
      </c>
      <c r="K12" s="16"/>
    </row>
    <row r="13" spans="1:12" x14ac:dyDescent="0.3">
      <c r="A13" s="41">
        <v>7</v>
      </c>
      <c r="B13" s="110" t="s">
        <v>116</v>
      </c>
      <c r="C13" s="152">
        <f>8.12-1</f>
        <v>7.1199999999999992</v>
      </c>
      <c r="D13" s="142">
        <v>3.92</v>
      </c>
      <c r="E13" s="143">
        <f t="shared" si="0"/>
        <v>3.92</v>
      </c>
      <c r="F13" s="81" t="s">
        <v>126</v>
      </c>
      <c r="G13" s="149">
        <v>1</v>
      </c>
      <c r="H13" s="83">
        <f>ROUND(G13*0.1,2)</f>
        <v>0.1</v>
      </c>
      <c r="J13" s="181">
        <f t="shared" si="1"/>
        <v>4.0199999999999996</v>
      </c>
      <c r="K13" s="16"/>
    </row>
    <row r="14" spans="1:12" x14ac:dyDescent="0.3">
      <c r="A14" s="41">
        <v>8</v>
      </c>
      <c r="B14" s="110" t="s">
        <v>117</v>
      </c>
      <c r="C14" s="152">
        <f>14.64-1.9</f>
        <v>12.74</v>
      </c>
      <c r="D14" s="142">
        <v>12.72</v>
      </c>
      <c r="E14" s="143">
        <f t="shared" si="0"/>
        <v>12.72</v>
      </c>
      <c r="F14" s="81">
        <v>1</v>
      </c>
      <c r="G14" s="149" t="s">
        <v>126</v>
      </c>
      <c r="H14" s="144">
        <f t="shared" ref="H14:H20" si="2">ROUND(F14*0.15,2)</f>
        <v>0.15</v>
      </c>
      <c r="J14" s="181">
        <f t="shared" si="1"/>
        <v>12.870000000000001</v>
      </c>
      <c r="K14" s="16"/>
    </row>
    <row r="15" spans="1:12" x14ac:dyDescent="0.3">
      <c r="A15" s="41">
        <v>9</v>
      </c>
      <c r="B15" s="110" t="s">
        <v>118</v>
      </c>
      <c r="C15" s="150" t="s">
        <v>126</v>
      </c>
      <c r="D15" s="142">
        <v>2.83</v>
      </c>
      <c r="E15" s="143">
        <f t="shared" si="0"/>
        <v>2.83</v>
      </c>
      <c r="F15" s="81">
        <v>0.9</v>
      </c>
      <c r="G15" s="149" t="s">
        <v>126</v>
      </c>
      <c r="H15" s="144">
        <f t="shared" si="2"/>
        <v>0.14000000000000001</v>
      </c>
      <c r="J15" s="181">
        <f t="shared" si="1"/>
        <v>2.97</v>
      </c>
      <c r="K15" s="16"/>
    </row>
    <row r="16" spans="1:12" x14ac:dyDescent="0.3">
      <c r="A16" s="41">
        <v>10</v>
      </c>
      <c r="B16" s="110" t="s">
        <v>119</v>
      </c>
      <c r="C16" s="150" t="s">
        <v>126</v>
      </c>
      <c r="D16" s="142">
        <v>4.26</v>
      </c>
      <c r="E16" s="143">
        <f t="shared" si="0"/>
        <v>4.26</v>
      </c>
      <c r="F16" s="151" t="s">
        <v>126</v>
      </c>
      <c r="G16" s="101">
        <v>0.9</v>
      </c>
      <c r="H16" s="144">
        <f>ROUND(G16*0.1,2)</f>
        <v>0.09</v>
      </c>
      <c r="J16" s="181">
        <f t="shared" si="1"/>
        <v>4.3499999999999996</v>
      </c>
      <c r="K16" s="16"/>
    </row>
    <row r="17" spans="1:15" x14ac:dyDescent="0.3">
      <c r="A17" s="41">
        <v>11</v>
      </c>
      <c r="B17" s="110" t="s">
        <v>120</v>
      </c>
      <c r="C17" s="150" t="s">
        <v>126</v>
      </c>
      <c r="D17" s="147">
        <v>6.14</v>
      </c>
      <c r="E17" s="143">
        <v>6.14</v>
      </c>
      <c r="F17" s="151" t="s">
        <v>126</v>
      </c>
      <c r="G17" s="101">
        <v>0.9</v>
      </c>
      <c r="H17" s="144">
        <f>ROUND(G17*0.1,2)</f>
        <v>0.09</v>
      </c>
      <c r="J17" s="181">
        <f t="shared" si="1"/>
        <v>6.2299999999999995</v>
      </c>
      <c r="K17" s="16"/>
    </row>
    <row r="18" spans="1:15" x14ac:dyDescent="0.3">
      <c r="A18" s="41">
        <v>12</v>
      </c>
      <c r="B18" s="110" t="s">
        <v>121</v>
      </c>
      <c r="C18" s="153">
        <f>12.7-2.22</f>
        <v>10.479999999999999</v>
      </c>
      <c r="D18" s="147">
        <v>8.5399999999999991</v>
      </c>
      <c r="E18" s="154">
        <f>D18</f>
        <v>8.5399999999999991</v>
      </c>
      <c r="F18" s="151" t="s">
        <v>126</v>
      </c>
      <c r="G18" s="149" t="s">
        <v>126</v>
      </c>
      <c r="H18" s="155" t="s">
        <v>126</v>
      </c>
      <c r="J18" s="181">
        <f>E18</f>
        <v>8.5399999999999991</v>
      </c>
      <c r="K18" s="16"/>
    </row>
    <row r="19" spans="1:15" x14ac:dyDescent="0.3">
      <c r="A19" s="41">
        <v>13</v>
      </c>
      <c r="B19" s="110" t="s">
        <v>122</v>
      </c>
      <c r="C19" s="153">
        <v>5.69</v>
      </c>
      <c r="D19" s="147">
        <v>5.35</v>
      </c>
      <c r="E19" s="154">
        <f>D19</f>
        <v>5.35</v>
      </c>
      <c r="F19" s="151" t="s">
        <v>126</v>
      </c>
      <c r="G19" s="149" t="s">
        <v>126</v>
      </c>
      <c r="H19" s="155" t="s">
        <v>126</v>
      </c>
      <c r="J19" s="181">
        <f>E19</f>
        <v>5.35</v>
      </c>
      <c r="K19" s="16"/>
    </row>
    <row r="20" spans="1:15" ht="19.5" thickBot="1" x14ac:dyDescent="0.35">
      <c r="A20" s="41">
        <v>14</v>
      </c>
      <c r="B20" s="110" t="s">
        <v>123</v>
      </c>
      <c r="C20" s="152">
        <v>16.23</v>
      </c>
      <c r="D20" s="142">
        <v>23.9</v>
      </c>
      <c r="E20" s="143">
        <f>D20</f>
        <v>23.9</v>
      </c>
      <c r="F20" s="81">
        <v>2</v>
      </c>
      <c r="G20" s="149" t="s">
        <v>126</v>
      </c>
      <c r="H20" s="83">
        <f t="shared" si="2"/>
        <v>0.3</v>
      </c>
      <c r="J20" s="181">
        <f t="shared" si="1"/>
        <v>24.2</v>
      </c>
      <c r="K20" s="16"/>
    </row>
    <row r="21" spans="1:15" s="17" customFormat="1" ht="19.5" thickBot="1" x14ac:dyDescent="0.35">
      <c r="A21" s="321"/>
      <c r="B21" s="322"/>
      <c r="C21" s="106">
        <f>SUM(C7:C20)</f>
        <v>98.58</v>
      </c>
      <c r="D21" s="107">
        <f>SUM(D7:D20)</f>
        <v>131.37</v>
      </c>
      <c r="E21" s="108">
        <f>SUM(E7:E20)</f>
        <v>131.37</v>
      </c>
      <c r="F21" s="177" t="s">
        <v>126</v>
      </c>
      <c r="G21" s="177" t="s">
        <v>126</v>
      </c>
      <c r="H21" s="108">
        <f>SUM(H7:H20)</f>
        <v>1.5900000000000003</v>
      </c>
      <c r="I21" s="11"/>
      <c r="J21" s="108">
        <f>SUM(J7:J20)</f>
        <v>132.95999999999998</v>
      </c>
      <c r="K21" s="4"/>
      <c r="L21" s="4"/>
      <c r="M21" s="11"/>
      <c r="N21" s="11"/>
      <c r="O21" s="11"/>
    </row>
    <row r="22" spans="1:15" ht="19.5" thickBot="1" x14ac:dyDescent="0.35"/>
    <row r="23" spans="1:15" ht="19.5" thickBot="1" x14ac:dyDescent="0.35">
      <c r="A23" s="315" t="s">
        <v>143</v>
      </c>
      <c r="B23" s="316"/>
      <c r="C23" s="317"/>
    </row>
    <row r="24" spans="1:15" x14ac:dyDescent="0.3">
      <c r="A24" s="313" t="s">
        <v>144</v>
      </c>
      <c r="B24" s="314"/>
      <c r="C24" s="178">
        <f>D21+H21</f>
        <v>132.96</v>
      </c>
    </row>
    <row r="25" spans="1:15" x14ac:dyDescent="0.3">
      <c r="A25" s="311" t="s">
        <v>145</v>
      </c>
      <c r="B25" s="312"/>
      <c r="C25" s="179">
        <f>E21+H21</f>
        <v>132.96</v>
      </c>
    </row>
    <row r="26" spans="1:15" ht="19.5" thickBot="1" x14ac:dyDescent="0.35">
      <c r="A26" s="309" t="s">
        <v>146</v>
      </c>
      <c r="B26" s="310"/>
      <c r="C26" s="180">
        <f>C21</f>
        <v>98.58</v>
      </c>
    </row>
  </sheetData>
  <mergeCells count="8">
    <mergeCell ref="A26:B26"/>
    <mergeCell ref="A25:B25"/>
    <mergeCell ref="A24:B24"/>
    <mergeCell ref="A23:C23"/>
    <mergeCell ref="A3:H3"/>
    <mergeCell ref="A21:B21"/>
    <mergeCell ref="C5:E5"/>
    <mergeCell ref="F5:H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1" fitToHeight="0" orientation="portrait" r:id="rId1"/>
  <headerFooter>
    <oddFooter>&amp;L&amp;14Memória de Cálculo&amp;C&amp;14Pisos e rodapés&amp;R&amp;14Página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  <pageSetUpPr fitToPage="1"/>
  </sheetPr>
  <dimension ref="A1:F31"/>
  <sheetViews>
    <sheetView view="pageBreakPreview" zoomScale="80" zoomScaleNormal="100" zoomScaleSheetLayoutView="80" workbookViewId="0">
      <selection activeCell="N34" sqref="N34"/>
    </sheetView>
  </sheetViews>
  <sheetFormatPr defaultRowHeight="15" x14ac:dyDescent="0.25"/>
  <cols>
    <col min="1" max="1" width="9.140625" style="2"/>
    <col min="2" max="2" width="21.85546875" style="5" customWidth="1"/>
    <col min="3" max="3" width="9.7109375" style="2" customWidth="1"/>
    <col min="4" max="4" width="10.42578125" style="2" customWidth="1"/>
    <col min="5" max="5" width="8.140625" style="2" bestFit="1" customWidth="1"/>
    <col min="6" max="6" width="9.140625" style="2"/>
  </cols>
  <sheetData>
    <row r="1" spans="1:6" ht="15.75" thickBot="1" x14ac:dyDescent="0.3"/>
    <row r="2" spans="1:6" ht="28.5" customHeight="1" thickBot="1" x14ac:dyDescent="0.3">
      <c r="A2" s="333" t="s">
        <v>14</v>
      </c>
      <c r="B2" s="334"/>
      <c r="C2" s="334"/>
      <c r="D2" s="334"/>
      <c r="E2" s="334"/>
      <c r="F2" s="335"/>
    </row>
    <row r="3" spans="1:6" ht="15.75" thickBot="1" x14ac:dyDescent="0.3"/>
    <row r="4" spans="1:6" x14ac:dyDescent="0.25">
      <c r="A4" s="336" t="s">
        <v>1</v>
      </c>
      <c r="B4" s="338" t="s">
        <v>0</v>
      </c>
      <c r="C4" s="342" t="s">
        <v>38</v>
      </c>
      <c r="D4" s="331" t="s">
        <v>161</v>
      </c>
      <c r="E4" s="332"/>
      <c r="F4" s="344" t="s">
        <v>39</v>
      </c>
    </row>
    <row r="5" spans="1:6" ht="27.75" customHeight="1" thickBot="1" x14ac:dyDescent="0.3">
      <c r="A5" s="337"/>
      <c r="B5" s="339"/>
      <c r="C5" s="343"/>
      <c r="D5" s="281" t="s">
        <v>162</v>
      </c>
      <c r="E5" s="282" t="s">
        <v>163</v>
      </c>
      <c r="F5" s="345"/>
    </row>
    <row r="6" spans="1:6" ht="15.75" x14ac:dyDescent="0.25">
      <c r="A6" s="277">
        <v>1</v>
      </c>
      <c r="B6" s="278" t="s">
        <v>92</v>
      </c>
      <c r="C6" s="279" t="s">
        <v>49</v>
      </c>
      <c r="D6" s="285">
        <v>1</v>
      </c>
      <c r="E6" s="286" t="s">
        <v>126</v>
      </c>
      <c r="F6" s="280" t="s">
        <v>128</v>
      </c>
    </row>
    <row r="7" spans="1:6" ht="15.75" x14ac:dyDescent="0.25">
      <c r="A7" s="68">
        <v>2</v>
      </c>
      <c r="B7" s="70" t="s">
        <v>40</v>
      </c>
      <c r="C7" s="270" t="s">
        <v>16</v>
      </c>
      <c r="D7" s="283" t="s">
        <v>126</v>
      </c>
      <c r="E7" s="7">
        <v>1</v>
      </c>
      <c r="F7" s="156" t="s">
        <v>52</v>
      </c>
    </row>
    <row r="8" spans="1:6" ht="15.75" x14ac:dyDescent="0.25">
      <c r="A8" s="68">
        <v>3</v>
      </c>
      <c r="B8" s="70" t="s">
        <v>93</v>
      </c>
      <c r="C8" s="270" t="s">
        <v>49</v>
      </c>
      <c r="D8" s="275">
        <v>1</v>
      </c>
      <c r="E8" s="284" t="s">
        <v>126</v>
      </c>
      <c r="F8" s="156" t="s">
        <v>128</v>
      </c>
    </row>
    <row r="9" spans="1:6" ht="15.75" x14ac:dyDescent="0.25">
      <c r="A9" s="68">
        <v>4</v>
      </c>
      <c r="B9" s="70" t="s">
        <v>41</v>
      </c>
      <c r="C9" s="270" t="s">
        <v>16</v>
      </c>
      <c r="D9" s="283" t="s">
        <v>126</v>
      </c>
      <c r="E9" s="7">
        <v>1</v>
      </c>
      <c r="F9" s="156" t="s">
        <v>52</v>
      </c>
    </row>
    <row r="10" spans="1:6" ht="15.75" x14ac:dyDescent="0.25">
      <c r="A10" s="68">
        <v>5</v>
      </c>
      <c r="B10" s="70" t="s">
        <v>114</v>
      </c>
      <c r="C10" s="270" t="s">
        <v>49</v>
      </c>
      <c r="D10" s="275">
        <v>1</v>
      </c>
      <c r="E10" s="284" t="s">
        <v>126</v>
      </c>
      <c r="F10" s="156" t="s">
        <v>128</v>
      </c>
    </row>
    <row r="11" spans="1:6" ht="15.75" x14ac:dyDescent="0.25">
      <c r="A11" s="68">
        <v>6</v>
      </c>
      <c r="B11" s="70" t="s">
        <v>115</v>
      </c>
      <c r="C11" s="270" t="s">
        <v>15</v>
      </c>
      <c r="D11" s="283" t="s">
        <v>126</v>
      </c>
      <c r="E11" s="284" t="s">
        <v>126</v>
      </c>
      <c r="F11" s="156" t="s">
        <v>52</v>
      </c>
    </row>
    <row r="12" spans="1:6" ht="15.75" x14ac:dyDescent="0.25">
      <c r="A12" s="68">
        <v>7</v>
      </c>
      <c r="B12" s="70" t="s">
        <v>119</v>
      </c>
      <c r="C12" s="270" t="s">
        <v>16</v>
      </c>
      <c r="D12" s="275">
        <v>1</v>
      </c>
      <c r="E12" s="284" t="s">
        <v>126</v>
      </c>
      <c r="F12" s="156" t="s">
        <v>52</v>
      </c>
    </row>
    <row r="13" spans="1:6" ht="15.75" x14ac:dyDescent="0.25">
      <c r="A13" s="68">
        <v>8</v>
      </c>
      <c r="B13" s="70" t="s">
        <v>120</v>
      </c>
      <c r="C13" s="270" t="s">
        <v>16</v>
      </c>
      <c r="D13" s="275">
        <v>1</v>
      </c>
      <c r="E13" s="284" t="s">
        <v>126</v>
      </c>
      <c r="F13" s="156" t="s">
        <v>26</v>
      </c>
    </row>
    <row r="14" spans="1:6" ht="31.5" x14ac:dyDescent="0.25">
      <c r="A14" s="68">
        <v>9</v>
      </c>
      <c r="B14" s="70" t="s">
        <v>121</v>
      </c>
      <c r="C14" s="271" t="s">
        <v>126</v>
      </c>
      <c r="D14" s="283" t="s">
        <v>126</v>
      </c>
      <c r="E14" s="284" t="s">
        <v>126</v>
      </c>
      <c r="F14" s="156" t="s">
        <v>26</v>
      </c>
    </row>
    <row r="15" spans="1:6" ht="15.75" x14ac:dyDescent="0.25">
      <c r="A15" s="68">
        <v>10</v>
      </c>
      <c r="B15" s="70" t="s">
        <v>129</v>
      </c>
      <c r="C15" s="270" t="s">
        <v>46</v>
      </c>
      <c r="D15" s="283" t="s">
        <v>126</v>
      </c>
      <c r="E15" s="284" t="s">
        <v>126</v>
      </c>
      <c r="F15" s="157" t="s">
        <v>126</v>
      </c>
    </row>
    <row r="16" spans="1:6" ht="15.75" x14ac:dyDescent="0.25">
      <c r="A16" s="68">
        <v>11</v>
      </c>
      <c r="B16" s="70" t="s">
        <v>127</v>
      </c>
      <c r="C16" s="270" t="s">
        <v>49</v>
      </c>
      <c r="D16" s="275">
        <v>1</v>
      </c>
      <c r="E16" s="284" t="s">
        <v>126</v>
      </c>
      <c r="F16" s="157" t="s">
        <v>126</v>
      </c>
    </row>
    <row r="17" spans="1:6" ht="15.75" x14ac:dyDescent="0.25">
      <c r="A17" s="68">
        <v>12</v>
      </c>
      <c r="B17" s="70" t="s">
        <v>117</v>
      </c>
      <c r="C17" s="270" t="s">
        <v>49</v>
      </c>
      <c r="D17" s="275">
        <v>1</v>
      </c>
      <c r="E17" s="7">
        <v>1</v>
      </c>
      <c r="F17" s="156" t="s">
        <v>128</v>
      </c>
    </row>
    <row r="18" spans="1:6" ht="16.5" thickBot="1" x14ac:dyDescent="0.3">
      <c r="A18" s="69">
        <v>13</v>
      </c>
      <c r="B18" s="158" t="s">
        <v>118</v>
      </c>
      <c r="C18" s="272" t="s">
        <v>15</v>
      </c>
      <c r="D18" s="276">
        <v>1</v>
      </c>
      <c r="E18" s="287" t="s">
        <v>126</v>
      </c>
      <c r="F18" s="159" t="s">
        <v>52</v>
      </c>
    </row>
    <row r="21" spans="1:6" ht="15.75" thickBot="1" x14ac:dyDescent="0.3"/>
    <row r="22" spans="1:6" ht="19.5" customHeight="1" thickBot="1" x14ac:dyDescent="0.35">
      <c r="A22" s="326" t="s">
        <v>70</v>
      </c>
      <c r="B22" s="327"/>
      <c r="C22" s="327"/>
      <c r="D22" s="328"/>
    </row>
    <row r="23" spans="1:6" ht="15" customHeight="1" x14ac:dyDescent="0.25">
      <c r="A23" s="346" t="s">
        <v>167</v>
      </c>
      <c r="B23" s="347"/>
      <c r="C23" s="302">
        <v>2</v>
      </c>
      <c r="D23" s="113" t="s">
        <v>30</v>
      </c>
    </row>
    <row r="24" spans="1:6" ht="15" customHeight="1" x14ac:dyDescent="0.25">
      <c r="A24" s="329" t="s">
        <v>166</v>
      </c>
      <c r="B24" s="330"/>
      <c r="C24" s="114">
        <v>2</v>
      </c>
      <c r="D24" s="71" t="s">
        <v>30</v>
      </c>
    </row>
    <row r="25" spans="1:6" ht="15" customHeight="1" x14ac:dyDescent="0.25">
      <c r="A25" s="329" t="s">
        <v>15</v>
      </c>
      <c r="B25" s="330"/>
      <c r="C25" s="114">
        <v>2</v>
      </c>
      <c r="D25" s="71" t="s">
        <v>30</v>
      </c>
    </row>
    <row r="26" spans="1:6" ht="15" customHeight="1" x14ac:dyDescent="0.25">
      <c r="A26" s="329" t="s">
        <v>164</v>
      </c>
      <c r="B26" s="330"/>
      <c r="C26" s="114">
        <v>4</v>
      </c>
      <c r="D26" s="71" t="s">
        <v>30</v>
      </c>
    </row>
    <row r="27" spans="1:6" ht="15" customHeight="1" x14ac:dyDescent="0.25">
      <c r="A27" s="329" t="s">
        <v>165</v>
      </c>
      <c r="B27" s="330"/>
      <c r="C27" s="114">
        <v>1</v>
      </c>
      <c r="D27" s="71" t="s">
        <v>30</v>
      </c>
    </row>
    <row r="28" spans="1:6" ht="15" customHeight="1" x14ac:dyDescent="0.25">
      <c r="A28" s="329" t="s">
        <v>46</v>
      </c>
      <c r="B28" s="330"/>
      <c r="C28" s="114">
        <v>1</v>
      </c>
      <c r="D28" s="71" t="s">
        <v>30</v>
      </c>
    </row>
    <row r="29" spans="1:6" ht="38.25" customHeight="1" x14ac:dyDescent="0.25">
      <c r="A29" s="329" t="s">
        <v>130</v>
      </c>
      <c r="B29" s="330"/>
      <c r="C29" s="114" t="s">
        <v>133</v>
      </c>
      <c r="D29" s="115" t="s">
        <v>135</v>
      </c>
    </row>
    <row r="30" spans="1:6" ht="30" x14ac:dyDescent="0.25">
      <c r="A30" s="329" t="s">
        <v>131</v>
      </c>
      <c r="B30" s="330"/>
      <c r="C30" s="114" t="s">
        <v>98</v>
      </c>
      <c r="D30" s="115" t="s">
        <v>136</v>
      </c>
    </row>
    <row r="31" spans="1:6" ht="30.75" thickBot="1" x14ac:dyDescent="0.3">
      <c r="A31" s="340" t="s">
        <v>132</v>
      </c>
      <c r="B31" s="341"/>
      <c r="C31" s="273" t="s">
        <v>134</v>
      </c>
      <c r="D31" s="274" t="s">
        <v>137</v>
      </c>
    </row>
  </sheetData>
  <mergeCells count="16">
    <mergeCell ref="D4:E4"/>
    <mergeCell ref="A2:F2"/>
    <mergeCell ref="A4:A5"/>
    <mergeCell ref="B4:B5"/>
    <mergeCell ref="A28:B28"/>
    <mergeCell ref="C4:C5"/>
    <mergeCell ref="F4:F5"/>
    <mergeCell ref="A26:B26"/>
    <mergeCell ref="A25:B25"/>
    <mergeCell ref="A23:B23"/>
    <mergeCell ref="A22:D22"/>
    <mergeCell ref="A27:B27"/>
    <mergeCell ref="A24:B24"/>
    <mergeCell ref="A31:B31"/>
    <mergeCell ref="A30:B30"/>
    <mergeCell ref="A29:B2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&amp;LMemória de Cálculo
&amp;CEsquadrias&amp;RPágina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92D050"/>
    <pageSetUpPr fitToPage="1"/>
  </sheetPr>
  <dimension ref="A1:O20"/>
  <sheetViews>
    <sheetView view="pageBreakPreview" zoomScale="60" zoomScaleNormal="100" workbookViewId="0">
      <pane ySplit="7" topLeftCell="A8" activePane="bottomLeft" state="frozen"/>
      <selection pane="bottomLeft" activeCell="A3" sqref="A3:O3"/>
    </sheetView>
  </sheetViews>
  <sheetFormatPr defaultRowHeight="15" x14ac:dyDescent="0.25"/>
  <cols>
    <col min="1" max="1" width="7.5703125" customWidth="1"/>
    <col min="2" max="2" width="33" style="5" customWidth="1"/>
    <col min="3" max="5" width="11.42578125" style="2" customWidth="1"/>
    <col min="6" max="6" width="12" style="2" bestFit="1" customWidth="1"/>
    <col min="7" max="7" width="10.7109375" style="21" customWidth="1"/>
    <col min="8" max="8" width="11.28515625" style="2" customWidth="1"/>
    <col min="9" max="9" width="14" style="2" customWidth="1"/>
    <col min="10" max="10" width="16" style="2" customWidth="1"/>
    <col min="11" max="11" width="11.42578125" style="2" customWidth="1"/>
    <col min="12" max="12" width="13" style="21" customWidth="1"/>
    <col min="13" max="13" width="14" style="2" customWidth="1"/>
    <col min="14" max="14" width="16.140625" style="2" customWidth="1"/>
    <col min="15" max="15" width="12.7109375" style="2" customWidth="1"/>
  </cols>
  <sheetData>
    <row r="1" spans="1:15" ht="15.75" hidden="1" thickBot="1" x14ac:dyDescent="0.3"/>
    <row r="2" spans="1:15" ht="15.75" hidden="1" thickBot="1" x14ac:dyDescent="0.3"/>
    <row r="3" spans="1:15" ht="27" thickBot="1" x14ac:dyDescent="0.3">
      <c r="A3" s="348" t="s">
        <v>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433"/>
    </row>
    <row r="4" spans="1:15" ht="15.75" thickBot="1" x14ac:dyDescent="0.3"/>
    <row r="5" spans="1:15" ht="27" customHeight="1" thickBot="1" x14ac:dyDescent="0.3">
      <c r="A5" s="360" t="s">
        <v>1</v>
      </c>
      <c r="B5" s="357" t="s">
        <v>0</v>
      </c>
      <c r="C5" s="323" t="s">
        <v>20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1:15" ht="23.25" customHeight="1" thickBot="1" x14ac:dyDescent="0.3">
      <c r="A6" s="361"/>
      <c r="B6" s="358"/>
      <c r="C6" s="363" t="s">
        <v>42</v>
      </c>
      <c r="D6" s="363"/>
      <c r="E6" s="363"/>
      <c r="F6" s="363"/>
      <c r="G6" s="363"/>
      <c r="H6" s="364"/>
      <c r="I6" s="350" t="s">
        <v>36</v>
      </c>
      <c r="J6" s="351"/>
      <c r="K6" s="352" t="s">
        <v>94</v>
      </c>
      <c r="L6" s="353"/>
      <c r="M6" s="353"/>
      <c r="N6" s="354"/>
      <c r="O6" s="425" t="s">
        <v>37</v>
      </c>
    </row>
    <row r="7" spans="1:15" ht="57" customHeight="1" thickBot="1" x14ac:dyDescent="0.3">
      <c r="A7" s="362"/>
      <c r="B7" s="359"/>
      <c r="C7" s="32" t="s">
        <v>17</v>
      </c>
      <c r="D7" s="33" t="s">
        <v>66</v>
      </c>
      <c r="E7" s="33" t="s">
        <v>139</v>
      </c>
      <c r="F7" s="33" t="s">
        <v>138</v>
      </c>
      <c r="G7" s="33" t="s">
        <v>18</v>
      </c>
      <c r="H7" s="34" t="s">
        <v>19</v>
      </c>
      <c r="I7" s="32" t="s">
        <v>44</v>
      </c>
      <c r="J7" s="33" t="s">
        <v>95</v>
      </c>
      <c r="K7" s="35" t="s">
        <v>21</v>
      </c>
      <c r="L7" s="36" t="s">
        <v>22</v>
      </c>
      <c r="M7" s="37" t="s">
        <v>23</v>
      </c>
      <c r="N7" s="37" t="s">
        <v>24</v>
      </c>
      <c r="O7" s="426"/>
    </row>
    <row r="8" spans="1:15" ht="15.75" x14ac:dyDescent="0.25">
      <c r="A8" s="72">
        <v>1</v>
      </c>
      <c r="B8" s="73" t="s">
        <v>92</v>
      </c>
      <c r="C8" s="168"/>
      <c r="D8" s="116">
        <v>1</v>
      </c>
      <c r="E8" s="169"/>
      <c r="F8" s="167"/>
      <c r="G8" s="167"/>
      <c r="H8" s="166"/>
      <c r="I8" s="117">
        <f>0.6*1.5</f>
        <v>0.89999999999999991</v>
      </c>
      <c r="J8" s="116">
        <f>0.6+0.6+1.5+1.5</f>
        <v>4.2</v>
      </c>
      <c r="K8" s="168"/>
      <c r="L8" s="167"/>
      <c r="M8" s="167"/>
      <c r="N8" s="166"/>
      <c r="O8" s="430">
        <v>1</v>
      </c>
    </row>
    <row r="9" spans="1:15" ht="30.75" customHeight="1" x14ac:dyDescent="0.25">
      <c r="A9" s="74">
        <v>2</v>
      </c>
      <c r="B9" s="75" t="s">
        <v>40</v>
      </c>
      <c r="C9" s="118">
        <v>1</v>
      </c>
      <c r="D9" s="119"/>
      <c r="E9" s="119"/>
      <c r="F9" s="120"/>
      <c r="G9" s="120">
        <v>1</v>
      </c>
      <c r="H9" s="121">
        <v>1</v>
      </c>
      <c r="I9" s="162"/>
      <c r="J9" s="160"/>
      <c r="K9" s="118">
        <v>1</v>
      </c>
      <c r="L9" s="120">
        <v>2</v>
      </c>
      <c r="M9" s="120">
        <v>1</v>
      </c>
      <c r="N9" s="121">
        <v>1</v>
      </c>
      <c r="O9" s="431">
        <v>1</v>
      </c>
    </row>
    <row r="10" spans="1:15" ht="15.75" x14ac:dyDescent="0.25">
      <c r="A10" s="74">
        <v>3</v>
      </c>
      <c r="B10" s="75" t="s">
        <v>93</v>
      </c>
      <c r="C10" s="165"/>
      <c r="D10" s="120">
        <v>1</v>
      </c>
      <c r="E10" s="160"/>
      <c r="F10" s="163"/>
      <c r="G10" s="163"/>
      <c r="H10" s="164"/>
      <c r="I10" s="118">
        <f>0.6*1.5</f>
        <v>0.89999999999999991</v>
      </c>
      <c r="J10" s="120">
        <f>0.6+0.6+1.5+1.5</f>
        <v>4.2</v>
      </c>
      <c r="K10" s="165"/>
      <c r="L10" s="163"/>
      <c r="M10" s="163"/>
      <c r="N10" s="164"/>
      <c r="O10" s="431">
        <v>1</v>
      </c>
    </row>
    <row r="11" spans="1:15" ht="30" customHeight="1" x14ac:dyDescent="0.25">
      <c r="A11" s="74">
        <v>4</v>
      </c>
      <c r="B11" s="75" t="s">
        <v>41</v>
      </c>
      <c r="C11" s="118">
        <v>1</v>
      </c>
      <c r="D11" s="119"/>
      <c r="E11" s="119"/>
      <c r="F11" s="120"/>
      <c r="G11" s="120">
        <v>1</v>
      </c>
      <c r="H11" s="121">
        <v>1</v>
      </c>
      <c r="I11" s="165"/>
      <c r="J11" s="163"/>
      <c r="K11" s="118">
        <v>1</v>
      </c>
      <c r="L11" s="120">
        <v>2</v>
      </c>
      <c r="M11" s="120">
        <v>1</v>
      </c>
      <c r="N11" s="121">
        <v>1</v>
      </c>
      <c r="O11" s="431">
        <v>1</v>
      </c>
    </row>
    <row r="12" spans="1:15" ht="30" customHeight="1" x14ac:dyDescent="0.25">
      <c r="A12" s="74">
        <v>5</v>
      </c>
      <c r="B12" s="75" t="s">
        <v>114</v>
      </c>
      <c r="C12" s="168"/>
      <c r="D12" s="116">
        <v>1</v>
      </c>
      <c r="E12" s="169"/>
      <c r="F12" s="167"/>
      <c r="G12" s="167"/>
      <c r="H12" s="166"/>
      <c r="I12" s="117">
        <f>0.6*1.5</f>
        <v>0.89999999999999991</v>
      </c>
      <c r="J12" s="116">
        <f>0.6+0.6+1.5+1.5</f>
        <v>4.2</v>
      </c>
      <c r="K12" s="162"/>
      <c r="L12" s="160"/>
      <c r="M12" s="160"/>
      <c r="N12" s="161"/>
      <c r="O12" s="431">
        <v>1</v>
      </c>
    </row>
    <row r="13" spans="1:15" ht="30" customHeight="1" x14ac:dyDescent="0.25">
      <c r="A13" s="74">
        <v>6</v>
      </c>
      <c r="B13" s="75" t="s">
        <v>115</v>
      </c>
      <c r="C13" s="118">
        <v>1</v>
      </c>
      <c r="D13" s="119"/>
      <c r="E13" s="119"/>
      <c r="F13" s="120"/>
      <c r="G13" s="120">
        <v>1</v>
      </c>
      <c r="H13" s="121">
        <v>1</v>
      </c>
      <c r="I13" s="162"/>
      <c r="J13" s="160"/>
      <c r="K13" s="118">
        <v>1</v>
      </c>
      <c r="L13" s="120">
        <v>2</v>
      </c>
      <c r="M13" s="120">
        <v>1</v>
      </c>
      <c r="N13" s="121">
        <v>1</v>
      </c>
      <c r="O13" s="431">
        <v>1</v>
      </c>
    </row>
    <row r="14" spans="1:15" ht="30" customHeight="1" x14ac:dyDescent="0.25">
      <c r="A14" s="74">
        <v>7</v>
      </c>
      <c r="B14" s="75" t="s">
        <v>119</v>
      </c>
      <c r="C14" s="162"/>
      <c r="D14" s="163"/>
      <c r="E14" s="163"/>
      <c r="F14" s="120">
        <v>1</v>
      </c>
      <c r="G14" s="160"/>
      <c r="H14" s="161"/>
      <c r="I14" s="165"/>
      <c r="J14" s="163"/>
      <c r="K14" s="162"/>
      <c r="L14" s="160"/>
      <c r="M14" s="160"/>
      <c r="N14" s="161"/>
      <c r="O14" s="431">
        <v>1</v>
      </c>
    </row>
    <row r="15" spans="1:15" ht="24.75" customHeight="1" x14ac:dyDescent="0.25">
      <c r="A15" s="74">
        <v>8</v>
      </c>
      <c r="B15" s="75" t="s">
        <v>120</v>
      </c>
      <c r="C15" s="165"/>
      <c r="D15" s="120">
        <v>1</v>
      </c>
      <c r="E15" s="120">
        <v>1</v>
      </c>
      <c r="F15" s="163"/>
      <c r="G15" s="163"/>
      <c r="H15" s="164"/>
      <c r="I15" s="118">
        <f>3.2*0.6</f>
        <v>1.92</v>
      </c>
      <c r="J15" s="120">
        <f>3.2+3.2+0.6+0.6</f>
        <v>7.6</v>
      </c>
      <c r="K15" s="165"/>
      <c r="L15" s="163"/>
      <c r="M15" s="163"/>
      <c r="N15" s="164"/>
      <c r="O15" s="431">
        <v>1</v>
      </c>
    </row>
    <row r="16" spans="1:15" ht="21" customHeight="1" x14ac:dyDescent="0.25">
      <c r="A16" s="74">
        <v>9</v>
      </c>
      <c r="B16" s="75" t="s">
        <v>121</v>
      </c>
      <c r="C16" s="162"/>
      <c r="D16" s="120">
        <v>1</v>
      </c>
      <c r="E16" s="160"/>
      <c r="F16" s="163"/>
      <c r="G16" s="163"/>
      <c r="H16" s="164"/>
      <c r="I16" s="118">
        <f>(1.92*0.6)+(1.5*0.6)+(0.6*1.42)</f>
        <v>2.9039999999999995</v>
      </c>
      <c r="J16" s="119">
        <f>(0.6+0.6+1.92+1.92)+(0.6+1.5+0.6+1.42+0.6+1.42+0.9)</f>
        <v>12.08</v>
      </c>
      <c r="K16" s="165"/>
      <c r="L16" s="163"/>
      <c r="M16" s="163"/>
      <c r="N16" s="164"/>
      <c r="O16" s="431">
        <v>1</v>
      </c>
    </row>
    <row r="17" spans="1:15" ht="22.5" customHeight="1" thickBot="1" x14ac:dyDescent="0.3">
      <c r="A17" s="74">
        <v>10</v>
      </c>
      <c r="B17" s="75" t="s">
        <v>140</v>
      </c>
      <c r="C17" s="118">
        <v>1</v>
      </c>
      <c r="D17" s="120"/>
      <c r="E17" s="120"/>
      <c r="F17" s="119"/>
      <c r="G17" s="120">
        <v>1</v>
      </c>
      <c r="H17" s="164"/>
      <c r="I17" s="118"/>
      <c r="J17" s="119"/>
      <c r="K17" s="118">
        <v>1</v>
      </c>
      <c r="L17" s="120">
        <v>2</v>
      </c>
      <c r="M17" s="163"/>
      <c r="N17" s="164"/>
      <c r="O17" s="431">
        <v>1</v>
      </c>
    </row>
    <row r="18" spans="1:15" ht="16.5" thickBot="1" x14ac:dyDescent="0.3">
      <c r="A18" s="355" t="s">
        <v>43</v>
      </c>
      <c r="B18" s="356"/>
      <c r="C18" s="122">
        <f t="shared" ref="C18:O18" si="0">SUM(C8:C17)</f>
        <v>4</v>
      </c>
      <c r="D18" s="123">
        <f t="shared" si="0"/>
        <v>5</v>
      </c>
      <c r="E18" s="123">
        <f t="shared" si="0"/>
        <v>1</v>
      </c>
      <c r="F18" s="123">
        <f t="shared" si="0"/>
        <v>1</v>
      </c>
      <c r="G18" s="123">
        <f t="shared" si="0"/>
        <v>4</v>
      </c>
      <c r="H18" s="124">
        <f t="shared" si="0"/>
        <v>3</v>
      </c>
      <c r="I18" s="122">
        <f t="shared" si="0"/>
        <v>7.5239999999999991</v>
      </c>
      <c r="J18" s="123">
        <f t="shared" si="0"/>
        <v>32.28</v>
      </c>
      <c r="K18" s="122">
        <f t="shared" si="0"/>
        <v>4</v>
      </c>
      <c r="L18" s="123">
        <f t="shared" si="0"/>
        <v>8</v>
      </c>
      <c r="M18" s="123">
        <f t="shared" si="0"/>
        <v>3</v>
      </c>
      <c r="N18" s="124">
        <f t="shared" si="0"/>
        <v>3</v>
      </c>
      <c r="O18" s="432">
        <f t="shared" si="0"/>
        <v>10</v>
      </c>
    </row>
    <row r="19" spans="1:15" ht="27.75" customHeight="1" x14ac:dyDescent="0.25"/>
    <row r="20" spans="1:15" ht="33.75" x14ac:dyDescent="0.25">
      <c r="G20" s="39" t="s">
        <v>141</v>
      </c>
    </row>
  </sheetData>
  <mergeCells count="9">
    <mergeCell ref="A3:O3"/>
    <mergeCell ref="I6:J6"/>
    <mergeCell ref="K6:N6"/>
    <mergeCell ref="A18:B18"/>
    <mergeCell ref="B5:B7"/>
    <mergeCell ref="A5:A7"/>
    <mergeCell ref="C6:H6"/>
    <mergeCell ref="C5:O5"/>
    <mergeCell ref="O6:O7"/>
  </mergeCells>
  <printOptions horizontalCentered="1"/>
  <pageMargins left="0.62992125984251968" right="0.70866141732283472" top="0.78740157480314965" bottom="0.78740157480314965" header="0.31496062992125984" footer="0.31496062992125984"/>
  <pageSetup paperSize="9" scale="64" orientation="landscape" r:id="rId1"/>
  <headerFooter>
    <oddFooter>&amp;L&amp;14Memória de Cálculo&amp;C&amp;14Louças e Metais&amp;R&amp;14Página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  <pageSetUpPr fitToPage="1"/>
  </sheetPr>
  <dimension ref="A1:G52"/>
  <sheetViews>
    <sheetView view="pageBreakPreview" zoomScale="80" zoomScaleNormal="80" zoomScaleSheetLayoutView="80" workbookViewId="0">
      <selection activeCell="F42" sqref="F42"/>
    </sheetView>
  </sheetViews>
  <sheetFormatPr defaultRowHeight="15" x14ac:dyDescent="0.25"/>
  <cols>
    <col min="1" max="1" width="21.28515625" customWidth="1"/>
    <col min="2" max="2" width="19.42578125" customWidth="1"/>
    <col min="3" max="3" width="16.42578125" customWidth="1"/>
    <col min="4" max="4" width="16.5703125" customWidth="1"/>
    <col min="5" max="5" width="16.7109375" bestFit="1" customWidth="1"/>
    <col min="6" max="6" width="18.42578125" customWidth="1"/>
    <col min="7" max="7" width="15.42578125" customWidth="1"/>
    <col min="8" max="8" width="10" bestFit="1" customWidth="1"/>
    <col min="9" max="9" width="12.28515625" bestFit="1" customWidth="1"/>
  </cols>
  <sheetData>
    <row r="1" spans="1:7" ht="15.75" thickBot="1" x14ac:dyDescent="0.3"/>
    <row r="2" spans="1:7" ht="21.75" thickBot="1" x14ac:dyDescent="0.4">
      <c r="A2" s="368" t="s">
        <v>148</v>
      </c>
      <c r="B2" s="369"/>
      <c r="C2" s="369"/>
      <c r="D2" s="369"/>
      <c r="E2" s="369"/>
      <c r="F2" s="369"/>
      <c r="G2" s="370"/>
    </row>
    <row r="3" spans="1:7" x14ac:dyDescent="0.25">
      <c r="A3" s="3"/>
    </row>
    <row r="4" spans="1:7" ht="15.75" thickBot="1" x14ac:dyDescent="0.3"/>
    <row r="5" spans="1:7" ht="15.75" thickBot="1" x14ac:dyDescent="0.3">
      <c r="A5" s="375" t="s">
        <v>105</v>
      </c>
      <c r="B5" s="376"/>
      <c r="C5" s="376"/>
      <c r="D5" s="376"/>
      <c r="E5" s="377"/>
    </row>
    <row r="6" spans="1:7" x14ac:dyDescent="0.25">
      <c r="A6" s="373" t="s">
        <v>97</v>
      </c>
      <c r="B6" s="374"/>
      <c r="C6" s="374"/>
      <c r="D6" s="135" t="s">
        <v>104</v>
      </c>
      <c r="E6" s="1" t="s">
        <v>32</v>
      </c>
    </row>
    <row r="7" spans="1:7" x14ac:dyDescent="0.25">
      <c r="A7" s="379" t="s">
        <v>101</v>
      </c>
      <c r="B7" s="380"/>
      <c r="C7" s="380"/>
      <c r="D7" s="125">
        <v>6</v>
      </c>
      <c r="E7" s="54" t="s">
        <v>30</v>
      </c>
    </row>
    <row r="8" spans="1:7" x14ac:dyDescent="0.25">
      <c r="A8" s="379" t="s">
        <v>100</v>
      </c>
      <c r="B8" s="380"/>
      <c r="C8" s="380"/>
      <c r="D8" s="183">
        <f>ROUND(10.1*16.85,2)</f>
        <v>170.19</v>
      </c>
      <c r="E8" s="54" t="s">
        <v>28</v>
      </c>
    </row>
    <row r="9" spans="1:7" x14ac:dyDescent="0.25">
      <c r="A9" s="379" t="s">
        <v>160</v>
      </c>
      <c r="B9" s="380"/>
      <c r="C9" s="380"/>
      <c r="D9" s="183">
        <f>ROUND(10.1*16.85,2)</f>
        <v>170.19</v>
      </c>
      <c r="E9" s="54" t="s">
        <v>28</v>
      </c>
    </row>
    <row r="10" spans="1:7" x14ac:dyDescent="0.25">
      <c r="A10" s="379" t="s">
        <v>102</v>
      </c>
      <c r="B10" s="380"/>
      <c r="C10" s="380"/>
      <c r="D10" s="125">
        <f>5.08+5.08</f>
        <v>10.16</v>
      </c>
      <c r="E10" s="54" t="s">
        <v>29</v>
      </c>
    </row>
    <row r="11" spans="1:7" x14ac:dyDescent="0.25">
      <c r="A11" s="381" t="s">
        <v>147</v>
      </c>
      <c r="B11" s="382"/>
      <c r="C11" s="383"/>
      <c r="D11" s="125">
        <v>16.850000000000001</v>
      </c>
      <c r="E11" s="54" t="s">
        <v>29</v>
      </c>
    </row>
    <row r="12" spans="1:7" ht="15.75" thickBot="1" x14ac:dyDescent="0.3">
      <c r="A12" s="371" t="s">
        <v>103</v>
      </c>
      <c r="B12" s="372"/>
      <c r="C12" s="372"/>
      <c r="D12" s="184">
        <f>ROUND(10.1*16.85,2)</f>
        <v>170.19</v>
      </c>
      <c r="E12" s="65" t="s">
        <v>28</v>
      </c>
    </row>
    <row r="14" spans="1:7" ht="39" customHeight="1" x14ac:dyDescent="0.25">
      <c r="A14" s="378" t="s">
        <v>99</v>
      </c>
      <c r="B14" s="378"/>
      <c r="C14" s="378"/>
      <c r="D14" s="378"/>
      <c r="E14" s="378"/>
      <c r="F14" s="378"/>
      <c r="G14" s="378"/>
    </row>
    <row r="33" spans="1:7" ht="15.75" thickBot="1" x14ac:dyDescent="0.3"/>
    <row r="34" spans="1:7" ht="19.5" thickBot="1" x14ac:dyDescent="0.3">
      <c r="A34" s="365" t="s">
        <v>113</v>
      </c>
      <c r="B34" s="366"/>
      <c r="C34" s="366"/>
      <c r="D34" s="366"/>
      <c r="E34" s="366"/>
      <c r="F34" s="366"/>
      <c r="G34" s="367"/>
    </row>
    <row r="35" spans="1:7" ht="15.75" thickBot="1" x14ac:dyDescent="0.3"/>
    <row r="36" spans="1:7" ht="15.75" thickBot="1" x14ac:dyDescent="0.3">
      <c r="A36" s="434" t="s">
        <v>142</v>
      </c>
      <c r="B36" s="435"/>
      <c r="C36" s="436"/>
    </row>
    <row r="37" spans="1:7" ht="15.75" thickBot="1" x14ac:dyDescent="0.3">
      <c r="A37" s="132" t="s">
        <v>1</v>
      </c>
      <c r="B37" s="133" t="s">
        <v>0</v>
      </c>
      <c r="C37" s="134" t="s">
        <v>112</v>
      </c>
    </row>
    <row r="38" spans="1:7" x14ac:dyDescent="0.25">
      <c r="A38" s="170">
        <v>1</v>
      </c>
      <c r="B38" s="171" t="s">
        <v>92</v>
      </c>
      <c r="C38" s="172">
        <v>14.66</v>
      </c>
    </row>
    <row r="39" spans="1:7" x14ac:dyDescent="0.25">
      <c r="A39" s="173">
        <v>2</v>
      </c>
      <c r="B39" s="293" t="s">
        <v>40</v>
      </c>
      <c r="C39" s="174">
        <v>4.96</v>
      </c>
    </row>
    <row r="40" spans="1:7" x14ac:dyDescent="0.25">
      <c r="A40" s="173">
        <v>3</v>
      </c>
      <c r="B40" s="293" t="s">
        <v>93</v>
      </c>
      <c r="C40" s="174">
        <v>14.879999999999999</v>
      </c>
    </row>
    <row r="41" spans="1:7" x14ac:dyDescent="0.25">
      <c r="A41" s="173">
        <v>4</v>
      </c>
      <c r="B41" s="293" t="s">
        <v>41</v>
      </c>
      <c r="C41" s="174">
        <v>5.0699999999999994</v>
      </c>
    </row>
    <row r="42" spans="1:7" x14ac:dyDescent="0.25">
      <c r="A42" s="173">
        <v>5</v>
      </c>
      <c r="B42" s="293" t="s">
        <v>114</v>
      </c>
      <c r="C42" s="174">
        <v>20.14</v>
      </c>
    </row>
    <row r="43" spans="1:7" x14ac:dyDescent="0.25">
      <c r="A43" s="173">
        <v>6</v>
      </c>
      <c r="B43" s="293" t="s">
        <v>115</v>
      </c>
      <c r="C43" s="174">
        <v>4.72</v>
      </c>
    </row>
    <row r="44" spans="1:7" x14ac:dyDescent="0.25">
      <c r="A44" s="173">
        <v>7</v>
      </c>
      <c r="B44" s="293" t="s">
        <v>116</v>
      </c>
      <c r="C44" s="174">
        <v>4.0199999999999996</v>
      </c>
    </row>
    <row r="45" spans="1:7" x14ac:dyDescent="0.25">
      <c r="A45" s="173">
        <v>8</v>
      </c>
      <c r="B45" s="293" t="s">
        <v>117</v>
      </c>
      <c r="C45" s="174">
        <v>12.870000000000001</v>
      </c>
    </row>
    <row r="46" spans="1:7" x14ac:dyDescent="0.25">
      <c r="A46" s="173">
        <v>9</v>
      </c>
      <c r="B46" s="293" t="s">
        <v>118</v>
      </c>
      <c r="C46" s="174">
        <v>2.97</v>
      </c>
    </row>
    <row r="47" spans="1:7" x14ac:dyDescent="0.25">
      <c r="A47" s="173">
        <v>10</v>
      </c>
      <c r="B47" s="293" t="s">
        <v>119</v>
      </c>
      <c r="C47" s="174">
        <v>4.3499999999999996</v>
      </c>
    </row>
    <row r="48" spans="1:7" x14ac:dyDescent="0.25">
      <c r="A48" s="173">
        <v>11</v>
      </c>
      <c r="B48" s="293" t="s">
        <v>120</v>
      </c>
      <c r="C48" s="174">
        <v>6.2299999999999995</v>
      </c>
    </row>
    <row r="49" spans="1:3" ht="30" x14ac:dyDescent="0.25">
      <c r="A49" s="173">
        <v>12</v>
      </c>
      <c r="B49" s="293" t="s">
        <v>121</v>
      </c>
      <c r="C49" s="174">
        <v>8.5399999999999991</v>
      </c>
    </row>
    <row r="50" spans="1:3" x14ac:dyDescent="0.25">
      <c r="A50" s="173">
        <v>13</v>
      </c>
      <c r="B50" s="293" t="s">
        <v>122</v>
      </c>
      <c r="C50" s="174">
        <v>5.35</v>
      </c>
    </row>
    <row r="51" spans="1:3" ht="15.75" thickBot="1" x14ac:dyDescent="0.3">
      <c r="A51" s="175">
        <v>14</v>
      </c>
      <c r="B51" s="292" t="s">
        <v>123</v>
      </c>
      <c r="C51" s="176">
        <v>24.2</v>
      </c>
    </row>
    <row r="52" spans="1:3" ht="15.75" thickBot="1" x14ac:dyDescent="0.3">
      <c r="B52" s="2"/>
      <c r="C52" s="182">
        <f>SUM(C38:C51)</f>
        <v>132.95999999999998</v>
      </c>
    </row>
  </sheetData>
  <mergeCells count="12">
    <mergeCell ref="A36:C36"/>
    <mergeCell ref="A34:G34"/>
    <mergeCell ref="A2:G2"/>
    <mergeCell ref="A12:C12"/>
    <mergeCell ref="A6:C6"/>
    <mergeCell ref="A5:E5"/>
    <mergeCell ref="A14:G14"/>
    <mergeCell ref="A10:C10"/>
    <mergeCell ref="A11:C11"/>
    <mergeCell ref="A8:C8"/>
    <mergeCell ref="A9:C9"/>
    <mergeCell ref="A7:C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Footer>&amp;LMemória de Cálculo&amp;CCobertura e Diversos&amp;RPágina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  <pageSetUpPr fitToPage="1"/>
  </sheetPr>
  <dimension ref="A1:E29"/>
  <sheetViews>
    <sheetView view="pageBreakPreview" zoomScaleNormal="100" zoomScaleSheetLayoutView="100" workbookViewId="0">
      <selection sqref="A1:XFD1"/>
    </sheetView>
  </sheetViews>
  <sheetFormatPr defaultRowHeight="15" x14ac:dyDescent="0.25"/>
  <cols>
    <col min="1" max="1" width="20.85546875" customWidth="1"/>
    <col min="2" max="2" width="20" customWidth="1"/>
    <col min="3" max="3" width="5.85546875" customWidth="1"/>
    <col min="4" max="4" width="32.42578125" customWidth="1"/>
    <col min="5" max="5" width="37.140625" customWidth="1"/>
  </cols>
  <sheetData>
    <row r="1" spans="1:5" ht="15.75" thickBot="1" x14ac:dyDescent="0.3"/>
    <row r="2" spans="1:5" ht="19.5" thickBot="1" x14ac:dyDescent="0.35">
      <c r="A2" s="384" t="s">
        <v>72</v>
      </c>
      <c r="B2" s="385"/>
      <c r="C2" s="385"/>
      <c r="D2" s="385"/>
      <c r="E2" s="386"/>
    </row>
    <row r="3" spans="1:5" ht="30" customHeight="1" thickBot="1" x14ac:dyDescent="0.3"/>
    <row r="4" spans="1:5" ht="15.75" thickBot="1" x14ac:dyDescent="0.3">
      <c r="A4" s="306" t="s">
        <v>54</v>
      </c>
      <c r="B4" s="308"/>
      <c r="D4" s="387" t="s">
        <v>68</v>
      </c>
      <c r="E4" s="387"/>
    </row>
    <row r="5" spans="1:5" x14ac:dyDescent="0.25">
      <c r="A5" s="288" t="s">
        <v>57</v>
      </c>
      <c r="B5" s="1" t="s">
        <v>31</v>
      </c>
      <c r="D5" s="387"/>
      <c r="E5" s="387"/>
    </row>
    <row r="6" spans="1:5" x14ac:dyDescent="0.25">
      <c r="A6" s="68" t="s">
        <v>168</v>
      </c>
      <c r="B6" s="54">
        <f>2.6+2.6+2.6+5.63</f>
        <v>13.43</v>
      </c>
      <c r="D6" s="387"/>
      <c r="E6" s="387"/>
    </row>
    <row r="7" spans="1:5" x14ac:dyDescent="0.25">
      <c r="A7" s="68" t="s">
        <v>55</v>
      </c>
      <c r="B7" s="290">
        <f>2.1+2.6+2.6+2.6+2.22+5.74+2.13+2.56+2.52</f>
        <v>25.069999999999997</v>
      </c>
      <c r="D7" s="387"/>
      <c r="E7" s="387"/>
    </row>
    <row r="8" spans="1:5" x14ac:dyDescent="0.25">
      <c r="A8" s="289" t="s">
        <v>169</v>
      </c>
      <c r="B8" s="290">
        <f>2.6+2.1+2.45+5.26</f>
        <v>12.41</v>
      </c>
      <c r="D8" s="387"/>
      <c r="E8" s="387"/>
    </row>
    <row r="9" spans="1:5" x14ac:dyDescent="0.25">
      <c r="A9" s="289" t="s">
        <v>74</v>
      </c>
      <c r="B9" s="290">
        <v>8.02</v>
      </c>
      <c r="D9" s="387"/>
      <c r="E9" s="387"/>
    </row>
    <row r="10" spans="1:5" x14ac:dyDescent="0.25">
      <c r="A10" s="289" t="s">
        <v>56</v>
      </c>
      <c r="B10" s="290">
        <f>2.45+2.9+2.9+2.9+2.09</f>
        <v>13.24</v>
      </c>
      <c r="D10" s="387"/>
      <c r="E10" s="387"/>
    </row>
    <row r="11" spans="1:5" x14ac:dyDescent="0.25">
      <c r="A11" s="289" t="s">
        <v>177</v>
      </c>
      <c r="B11" s="290">
        <v>0.87</v>
      </c>
      <c r="D11" s="387"/>
      <c r="E11" s="387"/>
    </row>
    <row r="12" spans="1:5" x14ac:dyDescent="0.25">
      <c r="A12" s="289" t="s">
        <v>170</v>
      </c>
      <c r="B12" s="290">
        <f>6.54</f>
        <v>6.54</v>
      </c>
      <c r="D12" s="387"/>
      <c r="E12" s="387"/>
    </row>
    <row r="13" spans="1:5" x14ac:dyDescent="0.25">
      <c r="A13" s="289" t="s">
        <v>171</v>
      </c>
      <c r="B13" s="290">
        <f>4.8+21.57</f>
        <v>26.37</v>
      </c>
      <c r="D13" s="387"/>
      <c r="E13" s="387"/>
    </row>
    <row r="14" spans="1:5" ht="15.75" thickBot="1" x14ac:dyDescent="0.3">
      <c r="A14" s="69" t="s">
        <v>176</v>
      </c>
      <c r="B14" s="65">
        <f>4.63+61.05+13.54+1.75+1.75</f>
        <v>82.72</v>
      </c>
    </row>
    <row r="15" spans="1:5" ht="25.5" customHeight="1" thickBot="1" x14ac:dyDescent="0.3"/>
    <row r="16" spans="1:5" ht="15.75" customHeight="1" thickBot="1" x14ac:dyDescent="0.3">
      <c r="A16" s="306" t="s">
        <v>58</v>
      </c>
      <c r="B16" s="308"/>
      <c r="D16" s="48"/>
      <c r="E16" s="49"/>
    </row>
    <row r="17" spans="1:5" ht="15.75" customHeight="1" x14ac:dyDescent="0.25">
      <c r="A17" s="127" t="s">
        <v>175</v>
      </c>
      <c r="B17" s="291" t="s">
        <v>64</v>
      </c>
      <c r="D17" s="48"/>
      <c r="E17" s="49"/>
    </row>
    <row r="18" spans="1:5" ht="15.75" customHeight="1" x14ac:dyDescent="0.25">
      <c r="A18" s="127" t="s">
        <v>178</v>
      </c>
      <c r="B18" s="291" t="s">
        <v>64</v>
      </c>
      <c r="D18" s="48"/>
      <c r="E18" s="49"/>
    </row>
    <row r="19" spans="1:5" ht="15.75" customHeight="1" x14ac:dyDescent="0.25">
      <c r="A19" s="127" t="s">
        <v>60</v>
      </c>
      <c r="B19" s="291" t="s">
        <v>172</v>
      </c>
      <c r="D19" s="48"/>
      <c r="E19" s="49"/>
    </row>
    <row r="20" spans="1:5" ht="15.75" customHeight="1" x14ac:dyDescent="0.25">
      <c r="A20" s="127" t="s">
        <v>173</v>
      </c>
      <c r="B20" s="291" t="s">
        <v>107</v>
      </c>
      <c r="D20" s="48"/>
      <c r="E20" s="49"/>
    </row>
    <row r="21" spans="1:5" ht="15.75" customHeight="1" x14ac:dyDescent="0.25">
      <c r="A21" s="127" t="s">
        <v>59</v>
      </c>
      <c r="B21" s="291" t="s">
        <v>111</v>
      </c>
      <c r="D21" s="48"/>
      <c r="E21" s="49"/>
    </row>
    <row r="22" spans="1:5" x14ac:dyDescent="0.25">
      <c r="A22" s="127" t="s">
        <v>174</v>
      </c>
      <c r="B22" s="291" t="s">
        <v>107</v>
      </c>
      <c r="D22" s="49"/>
      <c r="E22" s="49"/>
    </row>
    <row r="23" spans="1:5" x14ac:dyDescent="0.25">
      <c r="A23" s="127" t="s">
        <v>61</v>
      </c>
      <c r="B23" s="291" t="s">
        <v>107</v>
      </c>
      <c r="D23" s="49"/>
      <c r="E23" s="49"/>
    </row>
    <row r="24" spans="1:5" ht="15.75" thickBot="1" x14ac:dyDescent="0.3">
      <c r="A24" s="128" t="s">
        <v>62</v>
      </c>
      <c r="B24" s="129" t="s">
        <v>89</v>
      </c>
      <c r="D24" s="49"/>
      <c r="E24" s="49"/>
    </row>
    <row r="25" spans="1:5" x14ac:dyDescent="0.25">
      <c r="D25" s="49"/>
      <c r="E25" s="49"/>
    </row>
    <row r="26" spans="1:5" ht="15.75" thickBot="1" x14ac:dyDescent="0.3"/>
    <row r="27" spans="1:5" ht="22.5" customHeight="1" thickBot="1" x14ac:dyDescent="0.3">
      <c r="A27" s="306" t="s">
        <v>65</v>
      </c>
      <c r="B27" s="308"/>
      <c r="C27" s="10"/>
      <c r="D27" s="388" t="s">
        <v>219</v>
      </c>
      <c r="E27" s="389"/>
    </row>
    <row r="28" spans="1:5" x14ac:dyDescent="0.25">
      <c r="A28" s="126" t="s">
        <v>66</v>
      </c>
      <c r="B28" s="31" t="s">
        <v>111</v>
      </c>
      <c r="C28" s="10"/>
      <c r="D28" s="390"/>
      <c r="E28" s="391"/>
    </row>
    <row r="29" spans="1:5" ht="15.75" thickBot="1" x14ac:dyDescent="0.3">
      <c r="A29" s="128" t="s">
        <v>67</v>
      </c>
      <c r="B29" s="65" t="s">
        <v>89</v>
      </c>
      <c r="C29" s="10"/>
      <c r="D29" s="392"/>
      <c r="E29" s="393"/>
    </row>
  </sheetData>
  <mergeCells count="6">
    <mergeCell ref="A2:E2"/>
    <mergeCell ref="A27:B27"/>
    <mergeCell ref="D4:E13"/>
    <mergeCell ref="A4:B4"/>
    <mergeCell ref="A16:B16"/>
    <mergeCell ref="D27:E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Footer>&amp;LMemória de Cálculo&amp;CInstalações Hidráulicas&amp;RPágina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00B050"/>
    <pageSetUpPr fitToPage="1"/>
  </sheetPr>
  <dimension ref="A1:O38"/>
  <sheetViews>
    <sheetView view="pageBreakPreview" topLeftCell="A10" zoomScaleNormal="100" zoomScaleSheetLayoutView="100" workbookViewId="0">
      <selection activeCell="D37" sqref="D37"/>
    </sheetView>
  </sheetViews>
  <sheetFormatPr defaultRowHeight="15" x14ac:dyDescent="0.25"/>
  <cols>
    <col min="1" max="1" width="24.28515625" customWidth="1"/>
    <col min="2" max="2" width="18.28515625" customWidth="1"/>
    <col min="3" max="3" width="14.7109375" customWidth="1"/>
    <col min="4" max="4" width="16.85546875" bestFit="1" customWidth="1"/>
    <col min="5" max="5" width="15.140625" bestFit="1" customWidth="1"/>
    <col min="6" max="6" width="12.28515625" bestFit="1" customWidth="1"/>
    <col min="15" max="15" width="14.28515625" bestFit="1" customWidth="1"/>
  </cols>
  <sheetData>
    <row r="1" spans="1:15" ht="15.75" thickBot="1" x14ac:dyDescent="0.3"/>
    <row r="2" spans="1:15" ht="19.5" thickBot="1" x14ac:dyDescent="0.35">
      <c r="A2" s="384" t="s">
        <v>73</v>
      </c>
      <c r="B2" s="385"/>
      <c r="C2" s="385"/>
      <c r="D2" s="385"/>
      <c r="E2" s="385"/>
      <c r="F2" s="386"/>
    </row>
    <row r="3" spans="1:15" ht="21.75" customHeight="1" thickBot="1" x14ac:dyDescent="0.3"/>
    <row r="4" spans="1:15" ht="15.75" thickBot="1" x14ac:dyDescent="0.3">
      <c r="A4" s="306" t="s">
        <v>54</v>
      </c>
      <c r="B4" s="308"/>
      <c r="D4" s="387" t="s">
        <v>68</v>
      </c>
      <c r="E4" s="387"/>
    </row>
    <row r="5" spans="1:15" x14ac:dyDescent="0.25">
      <c r="A5" s="66" t="s">
        <v>57</v>
      </c>
      <c r="B5" s="67" t="s">
        <v>31</v>
      </c>
      <c r="D5" s="387"/>
      <c r="E5" s="387"/>
    </row>
    <row r="6" spans="1:15" x14ac:dyDescent="0.25">
      <c r="A6" s="68" t="s">
        <v>74</v>
      </c>
      <c r="B6" s="54">
        <v>24.75</v>
      </c>
      <c r="D6" s="387"/>
      <c r="E6" s="387"/>
    </row>
    <row r="7" spans="1:15" x14ac:dyDescent="0.25">
      <c r="A7" s="68" t="s">
        <v>56</v>
      </c>
      <c r="B7" s="54">
        <f>9.77+21.87</f>
        <v>31.64</v>
      </c>
      <c r="D7" s="387"/>
      <c r="E7" s="387"/>
    </row>
    <row r="8" spans="1:15" x14ac:dyDescent="0.25">
      <c r="A8" s="289" t="s">
        <v>75</v>
      </c>
      <c r="B8" s="290">
        <v>35.840000000000003</v>
      </c>
      <c r="D8" s="387"/>
      <c r="E8" s="387"/>
    </row>
    <row r="9" spans="1:15" ht="15.75" thickBot="1" x14ac:dyDescent="0.3">
      <c r="A9" s="69" t="s">
        <v>213</v>
      </c>
      <c r="B9" s="63">
        <v>28.07</v>
      </c>
      <c r="D9" s="387"/>
      <c r="E9" s="387"/>
    </row>
    <row r="12" spans="1:15" ht="15.75" thickBot="1" x14ac:dyDescent="0.3"/>
    <row r="13" spans="1:15" ht="15.75" thickBot="1" x14ac:dyDescent="0.3">
      <c r="A13" s="306" t="s">
        <v>76</v>
      </c>
      <c r="B13" s="308"/>
    </row>
    <row r="14" spans="1:15" x14ac:dyDescent="0.25">
      <c r="A14" s="50" t="s">
        <v>212</v>
      </c>
      <c r="B14" s="31" t="s">
        <v>107</v>
      </c>
    </row>
    <row r="15" spans="1:15" x14ac:dyDescent="0.25">
      <c r="A15" s="51" t="s">
        <v>77</v>
      </c>
      <c r="B15" s="54" t="s">
        <v>172</v>
      </c>
      <c r="O15" s="111"/>
    </row>
    <row r="16" spans="1:15" x14ac:dyDescent="0.25">
      <c r="A16" s="51" t="s">
        <v>90</v>
      </c>
      <c r="B16" s="54" t="s">
        <v>111</v>
      </c>
    </row>
    <row r="17" spans="1:15" ht="15.75" thickBot="1" x14ac:dyDescent="0.3">
      <c r="A17" s="64" t="s">
        <v>91</v>
      </c>
      <c r="B17" s="65" t="s">
        <v>64</v>
      </c>
      <c r="O17" s="111"/>
    </row>
    <row r="18" spans="1:15" ht="15.75" thickBot="1" x14ac:dyDescent="0.3">
      <c r="O18" s="112"/>
    </row>
    <row r="19" spans="1:15" ht="15.75" thickBot="1" x14ac:dyDescent="0.3">
      <c r="A19" s="306" t="s">
        <v>78</v>
      </c>
      <c r="B19" s="307"/>
      <c r="C19" s="307"/>
      <c r="D19" s="307"/>
      <c r="E19" s="307"/>
      <c r="F19" s="308"/>
    </row>
    <row r="20" spans="1:15" ht="30.75" thickBot="1" x14ac:dyDescent="0.3">
      <c r="A20" s="57" t="s">
        <v>82</v>
      </c>
      <c r="B20" s="58" t="s">
        <v>108</v>
      </c>
      <c r="C20" s="59" t="s">
        <v>48</v>
      </c>
      <c r="D20" s="59" t="s">
        <v>47</v>
      </c>
      <c r="E20" s="59" t="s">
        <v>84</v>
      </c>
      <c r="F20" s="60" t="s">
        <v>27</v>
      </c>
    </row>
    <row r="21" spans="1:15" x14ac:dyDescent="0.25">
      <c r="A21" s="51" t="s">
        <v>214</v>
      </c>
      <c r="B21" s="52">
        <v>28.07</v>
      </c>
      <c r="C21" s="52">
        <v>0.3</v>
      </c>
      <c r="D21" s="52">
        <v>0.5</v>
      </c>
      <c r="E21" s="53"/>
      <c r="F21" s="54">
        <f>ROUND(B21*C21*D21,2)</f>
        <v>4.21</v>
      </c>
    </row>
    <row r="22" spans="1:15" x14ac:dyDescent="0.25">
      <c r="A22" s="51" t="s">
        <v>79</v>
      </c>
      <c r="B22" s="52">
        <v>35.840000000000003</v>
      </c>
      <c r="C22" s="52">
        <v>0.25</v>
      </c>
      <c r="D22" s="52">
        <v>0.4</v>
      </c>
      <c r="E22" s="53"/>
      <c r="F22" s="54">
        <f>ROUND(B22*C22*D22,2)</f>
        <v>3.58</v>
      </c>
    </row>
    <row r="23" spans="1:15" x14ac:dyDescent="0.25">
      <c r="A23" s="51" t="s">
        <v>80</v>
      </c>
      <c r="B23" s="52">
        <f>B6-5.5</f>
        <v>19.25</v>
      </c>
      <c r="C23" s="52">
        <v>0.15</v>
      </c>
      <c r="D23" s="52">
        <v>0.3</v>
      </c>
      <c r="E23" s="53"/>
      <c r="F23" s="54">
        <f t="shared" ref="F23:F24" si="0">ROUND(B23*C23*D23,2)</f>
        <v>0.87</v>
      </c>
    </row>
    <row r="24" spans="1:15" x14ac:dyDescent="0.25">
      <c r="A24" s="51" t="s">
        <v>81</v>
      </c>
      <c r="B24" s="52">
        <v>9.77</v>
      </c>
      <c r="C24" s="52">
        <v>0.2</v>
      </c>
      <c r="D24" s="52">
        <v>0.3</v>
      </c>
      <c r="E24" s="53"/>
      <c r="F24" s="54">
        <f t="shared" si="0"/>
        <v>0.59</v>
      </c>
    </row>
    <row r="25" spans="1:15" x14ac:dyDescent="0.25">
      <c r="A25" s="51" t="s">
        <v>109</v>
      </c>
      <c r="B25" s="52">
        <v>0.7</v>
      </c>
      <c r="C25" s="52">
        <v>0.7</v>
      </c>
      <c r="D25" s="52">
        <v>0.7</v>
      </c>
      <c r="E25" s="52">
        <v>5</v>
      </c>
      <c r="F25" s="56">
        <f t="shared" ref="F25" si="1">ROUND(B25*C25*D25*E25,2)</f>
        <v>1.72</v>
      </c>
    </row>
    <row r="26" spans="1:15" ht="15.75" thickBot="1" x14ac:dyDescent="0.3">
      <c r="A26" s="64" t="s">
        <v>110</v>
      </c>
      <c r="B26" s="62">
        <v>0.9</v>
      </c>
      <c r="C26" s="62">
        <v>0.9</v>
      </c>
      <c r="D26" s="62">
        <v>0.9</v>
      </c>
      <c r="E26" s="62">
        <v>1</v>
      </c>
      <c r="F26" s="63">
        <f t="shared" ref="F26" si="2">ROUND(B26*C26*D26*E26,2)</f>
        <v>0.73</v>
      </c>
    </row>
    <row r="27" spans="1:15" ht="15.75" thickBot="1" x14ac:dyDescent="0.3">
      <c r="F27" s="130">
        <f>SUM(F21:F26)</f>
        <v>11.700000000000001</v>
      </c>
    </row>
    <row r="29" spans="1:15" ht="15.75" thickBot="1" x14ac:dyDescent="0.3">
      <c r="E29" s="30"/>
      <c r="F29" s="30"/>
    </row>
    <row r="30" spans="1:15" ht="15.75" thickBot="1" x14ac:dyDescent="0.3">
      <c r="A30" s="306" t="s">
        <v>85</v>
      </c>
      <c r="B30" s="307"/>
      <c r="C30" s="307"/>
      <c r="D30" s="308"/>
      <c r="E30" s="30"/>
      <c r="F30" s="30"/>
    </row>
    <row r="31" spans="1:15" ht="30.75" thickBot="1" x14ac:dyDescent="0.3">
      <c r="A31" s="57" t="s">
        <v>82</v>
      </c>
      <c r="B31" s="61" t="s">
        <v>87</v>
      </c>
      <c r="C31" s="59" t="s">
        <v>86</v>
      </c>
      <c r="D31" s="61" t="s">
        <v>88</v>
      </c>
      <c r="E31" s="28"/>
      <c r="F31" s="29"/>
    </row>
    <row r="32" spans="1:15" x14ac:dyDescent="0.25">
      <c r="A32" s="51" t="s">
        <v>214</v>
      </c>
      <c r="B32" s="55">
        <f>F21</f>
        <v>4.21</v>
      </c>
      <c r="C32" s="52">
        <v>0.85</v>
      </c>
      <c r="D32" s="56">
        <f t="shared" ref="D32:D37" si="3">ROUND(B32*C32,2)</f>
        <v>3.58</v>
      </c>
      <c r="E32" s="28"/>
      <c r="F32" s="29"/>
    </row>
    <row r="33" spans="1:6" x14ac:dyDescent="0.25">
      <c r="A33" s="51" t="s">
        <v>79</v>
      </c>
      <c r="B33" s="55">
        <f>F22</f>
        <v>3.58</v>
      </c>
      <c r="C33" s="52">
        <v>0.85</v>
      </c>
      <c r="D33" s="56">
        <f>ROUND(B33*C33,2)</f>
        <v>3.04</v>
      </c>
      <c r="E33" s="22"/>
      <c r="F33" s="26"/>
    </row>
    <row r="34" spans="1:6" x14ac:dyDescent="0.25">
      <c r="A34" s="51" t="s">
        <v>80</v>
      </c>
      <c r="B34" s="55">
        <f>F23</f>
        <v>0.87</v>
      </c>
      <c r="C34" s="52">
        <v>0.85</v>
      </c>
      <c r="D34" s="56">
        <f t="shared" si="3"/>
        <v>0.74</v>
      </c>
      <c r="E34" s="22"/>
      <c r="F34" s="26"/>
    </row>
    <row r="35" spans="1:6" x14ac:dyDescent="0.25">
      <c r="A35" s="51" t="s">
        <v>81</v>
      </c>
      <c r="B35" s="55">
        <f>F24</f>
        <v>0.59</v>
      </c>
      <c r="C35" s="52">
        <v>0.85</v>
      </c>
      <c r="D35" s="56">
        <f t="shared" si="3"/>
        <v>0.5</v>
      </c>
      <c r="E35" s="22"/>
      <c r="F35" s="26"/>
    </row>
    <row r="36" spans="1:6" x14ac:dyDescent="0.25">
      <c r="A36" s="51" t="s">
        <v>83</v>
      </c>
      <c r="B36" s="52">
        <f>F25</f>
        <v>1.72</v>
      </c>
      <c r="C36" s="52">
        <v>0.1</v>
      </c>
      <c r="D36" s="56">
        <f t="shared" si="3"/>
        <v>0.17</v>
      </c>
      <c r="E36" s="27"/>
      <c r="F36" s="27"/>
    </row>
    <row r="37" spans="1:6" ht="15.75" thickBot="1" x14ac:dyDescent="0.3">
      <c r="A37" s="64" t="s">
        <v>110</v>
      </c>
      <c r="B37" s="62">
        <f>F26</f>
        <v>0.73</v>
      </c>
      <c r="C37" s="62">
        <v>0.1</v>
      </c>
      <c r="D37" s="63">
        <f t="shared" si="3"/>
        <v>7.0000000000000007E-2</v>
      </c>
      <c r="E37" s="30"/>
      <c r="F37" s="30"/>
    </row>
    <row r="38" spans="1:6" ht="15.75" thickBot="1" x14ac:dyDescent="0.3">
      <c r="D38" s="130">
        <f>SUM(D32:D37)</f>
        <v>8.1000000000000014</v>
      </c>
      <c r="E38" s="22"/>
      <c r="F38" s="26"/>
    </row>
  </sheetData>
  <mergeCells count="6">
    <mergeCell ref="A2:F2"/>
    <mergeCell ref="A30:D30"/>
    <mergeCell ref="A4:B4"/>
    <mergeCell ref="D4:E9"/>
    <mergeCell ref="A13:B13"/>
    <mergeCell ref="A19:F19"/>
  </mergeCells>
  <printOptions horizontalCentered="1"/>
  <pageMargins left="0.70866141732283472" right="0.9055118110236221" top="0.78740157480314965" bottom="0.78740157480314965" header="0.31496062992125984" footer="0.31496062992125984"/>
  <pageSetup paperSize="9" scale="83" orientation="portrait" r:id="rId1"/>
  <headerFooter>
    <oddFooter>&amp;LMemória de Cálculo&amp;CInstalações Sanitárias&amp;RPágina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9"/>
  <sheetViews>
    <sheetView view="pageBreakPreview" topLeftCell="A25" zoomScaleNormal="100" zoomScaleSheetLayoutView="100" workbookViewId="0">
      <selection activeCell="H35" sqref="H35"/>
    </sheetView>
  </sheetViews>
  <sheetFormatPr defaultRowHeight="15" x14ac:dyDescent="0.25"/>
  <cols>
    <col min="1" max="1" width="57.28515625" style="43" customWidth="1"/>
    <col min="2" max="3" width="9.140625" style="2"/>
    <col min="8" max="8" width="72" customWidth="1"/>
  </cols>
  <sheetData>
    <row r="1" spans="1:3" ht="15.75" thickBot="1" x14ac:dyDescent="0.3">
      <c r="A1" s="303" t="s">
        <v>35</v>
      </c>
      <c r="B1" s="304"/>
      <c r="C1" s="305"/>
    </row>
    <row r="2" spans="1:3" ht="15.75" thickBot="1" x14ac:dyDescent="0.3">
      <c r="B2" s="2" t="s">
        <v>25</v>
      </c>
    </row>
    <row r="3" spans="1:3" ht="15.75" thickBot="1" x14ac:dyDescent="0.3">
      <c r="A3" s="419" t="s">
        <v>203</v>
      </c>
      <c r="B3" s="420" t="s">
        <v>25</v>
      </c>
      <c r="C3" s="421">
        <v>0</v>
      </c>
    </row>
    <row r="4" spans="1:3" ht="30" x14ac:dyDescent="0.25">
      <c r="A4" s="296" t="s">
        <v>204</v>
      </c>
      <c r="B4" s="297" t="s">
        <v>34</v>
      </c>
      <c r="C4" s="76">
        <v>160.6</v>
      </c>
    </row>
    <row r="5" spans="1:3" ht="45" x14ac:dyDescent="0.25">
      <c r="A5" s="298" t="s">
        <v>205</v>
      </c>
      <c r="B5" s="295" t="s">
        <v>34</v>
      </c>
      <c r="C5" s="131">
        <v>1</v>
      </c>
    </row>
    <row r="6" spans="1:3" ht="30" x14ac:dyDescent="0.25">
      <c r="A6" s="298" t="s">
        <v>206</v>
      </c>
      <c r="B6" s="295" t="s">
        <v>34</v>
      </c>
      <c r="C6" s="7">
        <v>90.3</v>
      </c>
    </row>
    <row r="7" spans="1:3" ht="45" x14ac:dyDescent="0.25">
      <c r="A7" s="298" t="s">
        <v>207</v>
      </c>
      <c r="B7" s="295" t="s">
        <v>33</v>
      </c>
      <c r="C7" s="7">
        <f>C34+C35</f>
        <v>7</v>
      </c>
    </row>
    <row r="8" spans="1:3" ht="45" x14ac:dyDescent="0.25">
      <c r="A8" s="298" t="s">
        <v>208</v>
      </c>
      <c r="B8" s="295" t="s">
        <v>33</v>
      </c>
      <c r="C8" s="7">
        <f>C28+C29+C30+C33</f>
        <v>42</v>
      </c>
    </row>
    <row r="9" spans="1:3" ht="45" x14ac:dyDescent="0.25">
      <c r="A9" s="298" t="s">
        <v>209</v>
      </c>
      <c r="B9" s="295" t="s">
        <v>33</v>
      </c>
      <c r="C9" s="7">
        <f>C31+C32</f>
        <v>12</v>
      </c>
    </row>
    <row r="10" spans="1:3" ht="30" x14ac:dyDescent="0.25">
      <c r="A10" s="298" t="s">
        <v>210</v>
      </c>
      <c r="B10" s="295" t="s">
        <v>33</v>
      </c>
      <c r="C10" s="131">
        <v>27</v>
      </c>
    </row>
    <row r="11" spans="1:3" ht="30.75" thickBot="1" x14ac:dyDescent="0.3">
      <c r="A11" s="299" t="s">
        <v>211</v>
      </c>
      <c r="B11" s="300" t="s">
        <v>33</v>
      </c>
      <c r="C11" s="301">
        <v>1</v>
      </c>
    </row>
    <row r="12" spans="1:3" ht="15.75" thickBot="1" x14ac:dyDescent="0.3"/>
    <row r="13" spans="1:3" ht="16.5" thickBot="1" x14ac:dyDescent="0.3">
      <c r="A13" s="419" t="s">
        <v>179</v>
      </c>
      <c r="B13" s="420"/>
      <c r="C13" s="421"/>
    </row>
    <row r="14" spans="1:3" ht="45" x14ac:dyDescent="0.25">
      <c r="A14" s="296" t="s">
        <v>180</v>
      </c>
      <c r="B14" s="297" t="s">
        <v>34</v>
      </c>
      <c r="C14" s="76">
        <v>834.4</v>
      </c>
    </row>
    <row r="15" spans="1:3" ht="45" x14ac:dyDescent="0.25">
      <c r="A15" s="298" t="s">
        <v>181</v>
      </c>
      <c r="B15" s="295" t="s">
        <v>34</v>
      </c>
      <c r="C15" s="7">
        <v>243.2</v>
      </c>
    </row>
    <row r="16" spans="1:3" ht="45" x14ac:dyDescent="0.25">
      <c r="A16" s="298" t="s">
        <v>182</v>
      </c>
      <c r="B16" s="295" t="s">
        <v>34</v>
      </c>
      <c r="C16" s="7">
        <v>173.5</v>
      </c>
    </row>
    <row r="17" spans="1:3" ht="45" x14ac:dyDescent="0.25">
      <c r="A17" s="298" t="s">
        <v>183</v>
      </c>
      <c r="B17" s="295" t="s">
        <v>34</v>
      </c>
      <c r="C17" s="7">
        <v>3.1</v>
      </c>
    </row>
    <row r="18" spans="1:3" ht="45.75" thickBot="1" x14ac:dyDescent="0.3">
      <c r="A18" s="299" t="s">
        <v>184</v>
      </c>
      <c r="B18" s="300" t="s">
        <v>34</v>
      </c>
      <c r="C18" s="47">
        <v>12.2</v>
      </c>
    </row>
    <row r="19" spans="1:3" ht="15.75" thickBot="1" x14ac:dyDescent="0.3"/>
    <row r="20" spans="1:3" ht="15.75" thickBot="1" x14ac:dyDescent="0.3">
      <c r="A20" s="419" t="s">
        <v>185</v>
      </c>
      <c r="B20" s="420" t="s">
        <v>25</v>
      </c>
      <c r="C20" s="421">
        <v>0</v>
      </c>
    </row>
    <row r="21" spans="1:3" ht="60" x14ac:dyDescent="0.25">
      <c r="A21" s="296" t="s">
        <v>186</v>
      </c>
      <c r="B21" s="297" t="s">
        <v>33</v>
      </c>
      <c r="C21" s="76">
        <v>1</v>
      </c>
    </row>
    <row r="22" spans="1:3" ht="30" x14ac:dyDescent="0.25">
      <c r="A22" s="298" t="s">
        <v>187</v>
      </c>
      <c r="B22" s="295" t="s">
        <v>33</v>
      </c>
      <c r="C22" s="7">
        <v>5</v>
      </c>
    </row>
    <row r="23" spans="1:3" ht="30" x14ac:dyDescent="0.25">
      <c r="A23" s="298" t="s">
        <v>188</v>
      </c>
      <c r="B23" s="295" t="s">
        <v>33</v>
      </c>
      <c r="C23" s="7">
        <v>7</v>
      </c>
    </row>
    <row r="24" spans="1:3" ht="30" x14ac:dyDescent="0.25">
      <c r="A24" s="298" t="s">
        <v>189</v>
      </c>
      <c r="B24" s="295" t="s">
        <v>33</v>
      </c>
      <c r="C24" s="7">
        <v>3</v>
      </c>
    </row>
    <row r="25" spans="1:3" ht="30.75" thickBot="1" x14ac:dyDescent="0.3">
      <c r="A25" s="299" t="s">
        <v>190</v>
      </c>
      <c r="B25" s="300" t="s">
        <v>33</v>
      </c>
      <c r="C25" s="47">
        <v>1</v>
      </c>
    </row>
    <row r="26" spans="1:3" ht="15.75" thickBot="1" x14ac:dyDescent="0.3"/>
    <row r="27" spans="1:3" ht="15.75" thickBot="1" x14ac:dyDescent="0.3">
      <c r="A27" s="422" t="s">
        <v>191</v>
      </c>
      <c r="B27" s="423" t="s">
        <v>25</v>
      </c>
      <c r="C27" s="424">
        <v>0</v>
      </c>
    </row>
    <row r="28" spans="1:3" ht="45" x14ac:dyDescent="0.25">
      <c r="A28" s="296" t="s">
        <v>192</v>
      </c>
      <c r="B28" s="297" t="s">
        <v>33</v>
      </c>
      <c r="C28" s="76">
        <v>6</v>
      </c>
    </row>
    <row r="29" spans="1:3" ht="45" x14ac:dyDescent="0.25">
      <c r="A29" s="298" t="s">
        <v>193</v>
      </c>
      <c r="B29" s="295" t="s">
        <v>33</v>
      </c>
      <c r="C29" s="7">
        <v>2</v>
      </c>
    </row>
    <row r="30" spans="1:3" ht="45" x14ac:dyDescent="0.25">
      <c r="A30" s="298" t="s">
        <v>194</v>
      </c>
      <c r="B30" s="295" t="s">
        <v>33</v>
      </c>
      <c r="C30" s="7">
        <v>5</v>
      </c>
    </row>
    <row r="31" spans="1:3" ht="45" x14ac:dyDescent="0.25">
      <c r="A31" s="298" t="s">
        <v>195</v>
      </c>
      <c r="B31" s="295" t="s">
        <v>33</v>
      </c>
      <c r="C31" s="7">
        <v>11</v>
      </c>
    </row>
    <row r="32" spans="1:3" ht="45" x14ac:dyDescent="0.25">
      <c r="A32" s="298" t="s">
        <v>196</v>
      </c>
      <c r="B32" s="295" t="s">
        <v>33</v>
      </c>
      <c r="C32" s="7">
        <v>1</v>
      </c>
    </row>
    <row r="33" spans="1:3" ht="45" x14ac:dyDescent="0.25">
      <c r="A33" s="298" t="s">
        <v>197</v>
      </c>
      <c r="B33" s="295" t="s">
        <v>33</v>
      </c>
      <c r="C33" s="7">
        <v>29</v>
      </c>
    </row>
    <row r="34" spans="1:3" ht="45" x14ac:dyDescent="0.25">
      <c r="A34" s="298" t="s">
        <v>198</v>
      </c>
      <c r="B34" s="295" t="s">
        <v>33</v>
      </c>
      <c r="C34" s="7">
        <v>6</v>
      </c>
    </row>
    <row r="35" spans="1:3" ht="45.75" thickBot="1" x14ac:dyDescent="0.3">
      <c r="A35" s="299" t="s">
        <v>199</v>
      </c>
      <c r="B35" s="300" t="s">
        <v>33</v>
      </c>
      <c r="C35" s="47">
        <v>1</v>
      </c>
    </row>
    <row r="36" spans="1:3" ht="15.75" thickBot="1" x14ac:dyDescent="0.3"/>
    <row r="37" spans="1:3" ht="16.5" thickBot="1" x14ac:dyDescent="0.3">
      <c r="A37" s="419" t="s">
        <v>200</v>
      </c>
      <c r="B37" s="420" t="s">
        <v>25</v>
      </c>
      <c r="C37" s="421"/>
    </row>
    <row r="38" spans="1:3" ht="45" x14ac:dyDescent="0.25">
      <c r="A38" s="296" t="s">
        <v>201</v>
      </c>
      <c r="B38" s="297" t="s">
        <v>33</v>
      </c>
      <c r="C38" s="76">
        <v>19</v>
      </c>
    </row>
    <row r="39" spans="1:3" ht="45.75" thickBot="1" x14ac:dyDescent="0.3">
      <c r="A39" s="299" t="s">
        <v>202</v>
      </c>
      <c r="B39" s="300" t="s">
        <v>33</v>
      </c>
      <c r="C39" s="47">
        <v>8</v>
      </c>
    </row>
  </sheetData>
  <mergeCells count="6">
    <mergeCell ref="A1:C1"/>
    <mergeCell ref="A13:C13"/>
    <mergeCell ref="A20:C20"/>
    <mergeCell ref="A27:C27"/>
    <mergeCell ref="A37:C37"/>
    <mergeCell ref="A3:C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&amp;LMemória de cálculo&amp;CInstalações elétricas&amp;RPágina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  <pageSetUpPr fitToPage="1"/>
  </sheetPr>
  <dimension ref="A1:U86"/>
  <sheetViews>
    <sheetView tabSelected="1" view="pageBreakPreview" zoomScale="55" zoomScaleNormal="90" zoomScaleSheetLayoutView="55" workbookViewId="0">
      <pane ySplit="6" topLeftCell="A16" activePane="bottomLeft" state="frozen"/>
      <selection activeCell="A5" sqref="A5"/>
      <selection pane="bottomLeft" activeCell="H27" sqref="H27"/>
    </sheetView>
  </sheetViews>
  <sheetFormatPr defaultRowHeight="18.75" x14ac:dyDescent="0.25"/>
  <cols>
    <col min="1" max="1" width="13.7109375" customWidth="1"/>
    <col min="2" max="2" width="27.7109375" style="5" customWidth="1"/>
    <col min="3" max="3" width="16.140625" style="2" customWidth="1"/>
    <col min="4" max="4" width="11.42578125" style="2" customWidth="1"/>
    <col min="5" max="5" width="15.28515625" style="2" customWidth="1"/>
    <col min="6" max="6" width="12.5703125" style="2" customWidth="1"/>
    <col min="7" max="7" width="16.28515625" style="2" customWidth="1"/>
    <col min="8" max="8" width="12.7109375" style="2" customWidth="1"/>
    <col min="9" max="9" width="16.85546875" style="2" customWidth="1"/>
    <col min="10" max="10" width="16.140625" style="2" customWidth="1"/>
    <col min="11" max="11" width="6.7109375" style="440" customWidth="1"/>
    <col min="12" max="12" width="15.42578125" style="6" customWidth="1"/>
    <col min="13" max="14" width="13.85546875" style="2" customWidth="1"/>
    <col min="15" max="15" width="13.7109375" style="4" customWidth="1"/>
    <col min="16" max="16" width="13.85546875" style="2" customWidth="1"/>
    <col min="17" max="17" width="16.85546875" style="4" customWidth="1"/>
    <col min="19" max="19" width="9.140625" style="4"/>
    <col min="20" max="20" width="14.28515625" style="2" customWidth="1"/>
  </cols>
  <sheetData>
    <row r="1" spans="1:21" ht="19.5" thickBot="1" x14ac:dyDescent="0.3">
      <c r="K1" s="438"/>
    </row>
    <row r="2" spans="1:21" ht="32.25" thickBot="1" x14ac:dyDescent="0.55000000000000004">
      <c r="A2" s="399" t="s">
        <v>53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1"/>
    </row>
    <row r="3" spans="1:21" ht="19.5" thickBot="1" x14ac:dyDescent="0.3">
      <c r="K3" s="438"/>
    </row>
    <row r="4" spans="1:21" ht="39.75" customHeight="1" thickBot="1" x14ac:dyDescent="0.3">
      <c r="B4" s="3"/>
      <c r="C4" s="396" t="s">
        <v>6</v>
      </c>
      <c r="D4" s="397"/>
      <c r="E4" s="397"/>
      <c r="F4" s="397"/>
      <c r="G4" s="397"/>
      <c r="H4" s="397"/>
      <c r="I4" s="397"/>
      <c r="J4" s="398"/>
      <c r="K4" s="438"/>
      <c r="L4" s="396" t="s">
        <v>151</v>
      </c>
      <c r="M4" s="397"/>
      <c r="N4" s="397"/>
      <c r="O4" s="397"/>
      <c r="P4" s="397"/>
      <c r="Q4" s="398"/>
    </row>
    <row r="5" spans="1:21" ht="42.75" customHeight="1" thickBot="1" x14ac:dyDescent="0.35">
      <c r="A5" s="408" t="s">
        <v>1</v>
      </c>
      <c r="B5" s="405" t="s">
        <v>0</v>
      </c>
      <c r="C5" s="402" t="s">
        <v>9</v>
      </c>
      <c r="D5" s="403"/>
      <c r="E5" s="403"/>
      <c r="F5" s="404"/>
      <c r="G5" s="402" t="s">
        <v>149</v>
      </c>
      <c r="H5" s="403"/>
      <c r="I5" s="403"/>
      <c r="J5" s="410"/>
      <c r="K5" s="8"/>
      <c r="L5" s="407" t="s">
        <v>150</v>
      </c>
      <c r="M5" s="394"/>
      <c r="N5" s="395"/>
      <c r="O5" s="394"/>
      <c r="P5" s="394"/>
      <c r="Q5" s="395"/>
    </row>
    <row r="6" spans="1:21" ht="56.25" customHeight="1" thickBot="1" x14ac:dyDescent="0.35">
      <c r="A6" s="409"/>
      <c r="B6" s="406"/>
      <c r="C6" s="95" t="s">
        <v>2</v>
      </c>
      <c r="D6" s="96" t="s">
        <v>3</v>
      </c>
      <c r="E6" s="96" t="s">
        <v>4</v>
      </c>
      <c r="F6" s="97" t="s">
        <v>5</v>
      </c>
      <c r="G6" s="95" t="s">
        <v>2</v>
      </c>
      <c r="H6" s="96" t="s">
        <v>3</v>
      </c>
      <c r="I6" s="96" t="s">
        <v>4</v>
      </c>
      <c r="J6" s="98" t="s">
        <v>5</v>
      </c>
      <c r="K6" s="8"/>
      <c r="L6" s="95" t="s">
        <v>10</v>
      </c>
      <c r="M6" s="96" t="s">
        <v>11</v>
      </c>
      <c r="N6" s="98" t="s">
        <v>12</v>
      </c>
      <c r="O6" s="99" t="s">
        <v>11</v>
      </c>
      <c r="P6" s="99" t="s">
        <v>69</v>
      </c>
      <c r="Q6" s="99" t="s">
        <v>159</v>
      </c>
      <c r="S6" s="4" t="s">
        <v>51</v>
      </c>
      <c r="T6" s="2" t="s">
        <v>50</v>
      </c>
      <c r="U6" t="s">
        <v>13</v>
      </c>
    </row>
    <row r="7" spans="1:21" ht="37.5" customHeight="1" x14ac:dyDescent="0.3">
      <c r="A7" s="414">
        <v>1</v>
      </c>
      <c r="B7" s="411" t="s">
        <v>92</v>
      </c>
      <c r="C7" s="77">
        <v>3.2</v>
      </c>
      <c r="D7" s="78">
        <v>2.7</v>
      </c>
      <c r="E7" s="78">
        <f>2*1</f>
        <v>2</v>
      </c>
      <c r="F7" s="79">
        <f t="shared" ref="F7:F16" si="0">ROUND((C7*D7)-E7,2)</f>
        <v>6.64</v>
      </c>
      <c r="G7" s="185"/>
      <c r="H7" s="84"/>
      <c r="I7" s="84"/>
      <c r="J7" s="427"/>
      <c r="K7" s="186"/>
      <c r="L7" s="77">
        <f>(1.5*0.6)-(0.9*0.6)</f>
        <v>0.35999999999999988</v>
      </c>
      <c r="M7" s="78">
        <f>F7-L7</f>
        <v>6.2799999999999994</v>
      </c>
      <c r="N7" s="79">
        <f>M7</f>
        <v>6.2799999999999994</v>
      </c>
      <c r="O7" s="224">
        <v>14.56</v>
      </c>
      <c r="P7" s="78">
        <f>O7</f>
        <v>14.56</v>
      </c>
      <c r="Q7" s="248">
        <f>O7</f>
        <v>14.56</v>
      </c>
      <c r="S7" s="4" t="e">
        <f>IF(#REF!=L7,"OK","ERRO")</f>
        <v>#REF!</v>
      </c>
      <c r="T7" s="9" t="e">
        <f>IF(N7=M7+#REF!,"OK","ERRO")</f>
        <v>#REF!</v>
      </c>
      <c r="U7" s="20" t="e">
        <f>IF(#REF!=(P7+O7),"OK","ERRO")</f>
        <v>#REF!</v>
      </c>
    </row>
    <row r="8" spans="1:21" ht="23.25" x14ac:dyDescent="0.3">
      <c r="A8" s="414"/>
      <c r="B8" s="412"/>
      <c r="C8" s="225">
        <v>4.0199999999999996</v>
      </c>
      <c r="D8" s="81">
        <v>2.7</v>
      </c>
      <c r="E8" s="81"/>
      <c r="F8" s="83">
        <f t="shared" si="0"/>
        <v>10.85</v>
      </c>
      <c r="G8" s="189"/>
      <c r="H8" s="136"/>
      <c r="I8" s="136"/>
      <c r="J8" s="428"/>
      <c r="K8" s="186"/>
      <c r="L8" s="225">
        <f>0.6*0.6</f>
        <v>0.36</v>
      </c>
      <c r="M8" s="81">
        <f>F8-L8</f>
        <v>10.49</v>
      </c>
      <c r="N8" s="83">
        <f>M8</f>
        <v>10.49</v>
      </c>
      <c r="O8" s="225"/>
      <c r="P8" s="230"/>
      <c r="Q8" s="249"/>
      <c r="S8" s="4" t="e">
        <f>IF(#REF!=L8,"OK","ERRO")</f>
        <v>#REF!</v>
      </c>
      <c r="T8" s="9" t="e">
        <f>IF(N8=M8+#REF!,"OK","ERRO")</f>
        <v>#REF!</v>
      </c>
      <c r="U8" s="20" t="e">
        <f>IF(#REF!=(P8+O8),"OK","ERRO")</f>
        <v>#REF!</v>
      </c>
    </row>
    <row r="9" spans="1:21" ht="37.5" x14ac:dyDescent="0.3">
      <c r="A9" s="414"/>
      <c r="B9" s="412"/>
      <c r="C9" s="80">
        <v>2.4</v>
      </c>
      <c r="D9" s="81">
        <v>2.7</v>
      </c>
      <c r="E9" s="81">
        <f>0.9*2.1</f>
        <v>1.8900000000000001</v>
      </c>
      <c r="F9" s="83">
        <f t="shared" si="0"/>
        <v>4.59</v>
      </c>
      <c r="G9" s="80">
        <v>1.65</v>
      </c>
      <c r="H9" s="81">
        <v>2.7</v>
      </c>
      <c r="I9" s="136"/>
      <c r="J9" s="257" t="s">
        <v>156</v>
      </c>
      <c r="K9" s="186"/>
      <c r="L9" s="189"/>
      <c r="M9" s="81">
        <f>F9+(G9*H9)</f>
        <v>9.0449999999999999</v>
      </c>
      <c r="N9" s="83">
        <f>M9</f>
        <v>9.0449999999999999</v>
      </c>
      <c r="O9" s="225"/>
      <c r="P9" s="230"/>
      <c r="Q9" s="249"/>
      <c r="S9" s="4" t="e">
        <f>IF(#REF!=L9,"OK","ERRO")</f>
        <v>#REF!</v>
      </c>
      <c r="T9" s="9" t="e">
        <f>IF(N9=M9+#REF!,"OK","ERRO")</f>
        <v>#REF!</v>
      </c>
      <c r="U9" s="20" t="e">
        <f>IF(#REF!=(P9+O9),"OK","ERRO")</f>
        <v>#REF!</v>
      </c>
    </row>
    <row r="10" spans="1:21" ht="23.25" x14ac:dyDescent="0.3">
      <c r="A10" s="414"/>
      <c r="B10" s="412"/>
      <c r="C10" s="80"/>
      <c r="D10" s="81"/>
      <c r="E10" s="81"/>
      <c r="F10" s="83"/>
      <c r="G10" s="80">
        <v>2</v>
      </c>
      <c r="H10" s="81">
        <v>2.7</v>
      </c>
      <c r="I10" s="81">
        <f>1*2.1</f>
        <v>2.1</v>
      </c>
      <c r="J10" s="83">
        <f t="shared" ref="J10" si="1">ROUND((G10*H10)-I10,2)</f>
        <v>3.3</v>
      </c>
      <c r="K10" s="186"/>
      <c r="L10" s="189"/>
      <c r="M10" s="81">
        <f>J10</f>
        <v>3.3</v>
      </c>
      <c r="N10" s="83">
        <f>J10</f>
        <v>3.3</v>
      </c>
      <c r="O10" s="225"/>
      <c r="P10" s="230"/>
      <c r="Q10" s="249"/>
      <c r="S10" s="4" t="e">
        <f>IF(#REF!=L10,"OK","ERRO")</f>
        <v>#REF!</v>
      </c>
      <c r="T10" s="9" t="e">
        <f>IF(N10=M10+#REF!,"OK","ERRO")</f>
        <v>#REF!</v>
      </c>
      <c r="U10" s="20" t="e">
        <f>IF(#REF!=(P10+O10),"OK","ERRO")</f>
        <v>#REF!</v>
      </c>
    </row>
    <row r="11" spans="1:21" ht="37.5" x14ac:dyDescent="0.3">
      <c r="A11" s="223"/>
      <c r="B11" s="412"/>
      <c r="C11" s="80"/>
      <c r="D11" s="81"/>
      <c r="E11" s="81"/>
      <c r="F11" s="83"/>
      <c r="G11" s="80">
        <v>0.85</v>
      </c>
      <c r="H11" s="81">
        <v>2.7</v>
      </c>
      <c r="I11" s="136"/>
      <c r="J11" s="257" t="s">
        <v>155</v>
      </c>
      <c r="K11" s="186"/>
      <c r="L11" s="189"/>
      <c r="M11" s="81">
        <f>G11*H11</f>
        <v>2.2949999999999999</v>
      </c>
      <c r="N11" s="83">
        <f t="shared" ref="N11:N16" si="2">M11</f>
        <v>2.2949999999999999</v>
      </c>
      <c r="O11" s="225"/>
      <c r="P11" s="230"/>
      <c r="Q11" s="249"/>
      <c r="T11" s="9"/>
      <c r="U11" s="20"/>
    </row>
    <row r="12" spans="1:21" ht="38.25" thickBot="1" x14ac:dyDescent="0.35">
      <c r="A12" s="223"/>
      <c r="B12" s="416"/>
      <c r="C12" s="80"/>
      <c r="D12" s="81"/>
      <c r="E12" s="81"/>
      <c r="F12" s="83"/>
      <c r="G12" s="80">
        <v>2.02</v>
      </c>
      <c r="H12" s="81">
        <v>2.7</v>
      </c>
      <c r="I12" s="136"/>
      <c r="J12" s="257" t="s">
        <v>155</v>
      </c>
      <c r="K12" s="186"/>
      <c r="L12" s="189"/>
      <c r="M12" s="81">
        <f>G12*H12</f>
        <v>5.4540000000000006</v>
      </c>
      <c r="N12" s="83">
        <f t="shared" si="2"/>
        <v>5.4540000000000006</v>
      </c>
      <c r="O12" s="226"/>
      <c r="P12" s="233"/>
      <c r="Q12" s="250"/>
      <c r="T12" s="9"/>
      <c r="U12" s="20"/>
    </row>
    <row r="13" spans="1:21" ht="23.25" x14ac:dyDescent="0.3">
      <c r="A13" s="413">
        <v>2</v>
      </c>
      <c r="B13" s="411" t="s">
        <v>152</v>
      </c>
      <c r="C13" s="224">
        <v>2.09</v>
      </c>
      <c r="D13" s="78">
        <v>2.7</v>
      </c>
      <c r="E13" s="78">
        <f>1*0.5</f>
        <v>0.5</v>
      </c>
      <c r="F13" s="79">
        <f t="shared" si="0"/>
        <v>5.14</v>
      </c>
      <c r="G13" s="198"/>
      <c r="H13" s="187"/>
      <c r="I13" s="187"/>
      <c r="J13" s="199"/>
      <c r="K13" s="186"/>
      <c r="L13" s="77">
        <f>(C13*2.1)-E13</f>
        <v>3.8890000000000002</v>
      </c>
      <c r="M13" s="78">
        <f>F13-L13</f>
        <v>1.2509999999999994</v>
      </c>
      <c r="N13" s="79">
        <f t="shared" si="2"/>
        <v>1.2509999999999994</v>
      </c>
      <c r="O13" s="228">
        <v>4.82</v>
      </c>
      <c r="P13" s="228">
        <f>O13</f>
        <v>4.82</v>
      </c>
      <c r="Q13" s="248">
        <f>O13</f>
        <v>4.82</v>
      </c>
      <c r="T13" s="9"/>
      <c r="U13" s="20"/>
    </row>
    <row r="14" spans="1:21" ht="23.25" x14ac:dyDescent="0.3">
      <c r="A14" s="414"/>
      <c r="B14" s="412"/>
      <c r="C14" s="225">
        <v>2.25</v>
      </c>
      <c r="D14" s="81">
        <v>2.7</v>
      </c>
      <c r="E14" s="81">
        <f>0.9*2.1</f>
        <v>1.8900000000000001</v>
      </c>
      <c r="F14" s="83">
        <f t="shared" si="0"/>
        <v>4.1900000000000004</v>
      </c>
      <c r="G14" s="200"/>
      <c r="H14" s="201"/>
      <c r="I14" s="201"/>
      <c r="J14" s="202"/>
      <c r="K14" s="186"/>
      <c r="L14" s="90">
        <f>(C14*2.1)-E14</f>
        <v>2.8350000000000004</v>
      </c>
      <c r="M14" s="91">
        <f>F14-L14</f>
        <v>1.355</v>
      </c>
      <c r="N14" s="92">
        <f t="shared" si="2"/>
        <v>1.355</v>
      </c>
      <c r="O14" s="241"/>
      <c r="P14" s="241"/>
      <c r="Q14" s="251"/>
      <c r="T14" s="9"/>
      <c r="U14" s="20"/>
    </row>
    <row r="15" spans="1:21" ht="23.25" x14ac:dyDescent="0.3">
      <c r="A15" s="414"/>
      <c r="B15" s="412"/>
      <c r="C15" s="225">
        <v>2.09</v>
      </c>
      <c r="D15" s="81">
        <v>2.7</v>
      </c>
      <c r="E15" s="81"/>
      <c r="F15" s="83">
        <f t="shared" si="0"/>
        <v>5.64</v>
      </c>
      <c r="G15" s="200"/>
      <c r="H15" s="201"/>
      <c r="I15" s="201"/>
      <c r="J15" s="202"/>
      <c r="K15" s="186"/>
      <c r="L15" s="90">
        <f>C15*2.1</f>
        <v>4.3890000000000002</v>
      </c>
      <c r="M15" s="91">
        <f>F15-L15</f>
        <v>1.2509999999999994</v>
      </c>
      <c r="N15" s="92">
        <f t="shared" si="2"/>
        <v>1.2509999999999994</v>
      </c>
      <c r="O15" s="241"/>
      <c r="P15" s="241"/>
      <c r="Q15" s="251"/>
      <c r="T15" s="9"/>
      <c r="U15" s="20"/>
    </row>
    <row r="16" spans="1:21" ht="24" thickBot="1" x14ac:dyDescent="0.35">
      <c r="A16" s="415"/>
      <c r="B16" s="416"/>
      <c r="C16" s="226">
        <v>2.25</v>
      </c>
      <c r="D16" s="86">
        <v>2.7</v>
      </c>
      <c r="E16" s="86"/>
      <c r="F16" s="87">
        <f t="shared" si="0"/>
        <v>6.08</v>
      </c>
      <c r="G16" s="204"/>
      <c r="H16" s="205"/>
      <c r="I16" s="205"/>
      <c r="J16" s="206"/>
      <c r="K16" s="186"/>
      <c r="L16" s="105">
        <f>C16*2.1</f>
        <v>4.7250000000000005</v>
      </c>
      <c r="M16" s="237">
        <f>F16-L16</f>
        <v>1.3549999999999995</v>
      </c>
      <c r="N16" s="238">
        <f t="shared" si="2"/>
        <v>1.3549999999999995</v>
      </c>
      <c r="O16" s="252"/>
      <c r="P16" s="252"/>
      <c r="Q16" s="253"/>
      <c r="T16" s="9"/>
      <c r="U16" s="20"/>
    </row>
    <row r="17" spans="1:21" ht="37.5" customHeight="1" x14ac:dyDescent="0.3">
      <c r="A17" s="413">
        <v>3</v>
      </c>
      <c r="B17" s="411" t="s">
        <v>93</v>
      </c>
      <c r="C17" s="90"/>
      <c r="D17" s="91"/>
      <c r="E17" s="91"/>
      <c r="F17" s="102"/>
      <c r="G17" s="90">
        <v>3.3</v>
      </c>
      <c r="H17" s="91">
        <v>2.7</v>
      </c>
      <c r="I17" s="91">
        <f>1*2.1</f>
        <v>2.1</v>
      </c>
      <c r="J17" s="83">
        <f t="shared" ref="J17" si="3">ROUND((G17*H17)-I17,2)</f>
        <v>6.81</v>
      </c>
      <c r="K17" s="207"/>
      <c r="L17" s="203"/>
      <c r="M17" s="91">
        <f>J17</f>
        <v>6.81</v>
      </c>
      <c r="N17" s="92">
        <f>J17</f>
        <v>6.81</v>
      </c>
      <c r="O17" s="91">
        <v>14.78</v>
      </c>
      <c r="P17" s="91">
        <f>O17</f>
        <v>14.78</v>
      </c>
      <c r="Q17" s="92">
        <f>O17</f>
        <v>14.78</v>
      </c>
      <c r="S17" s="4" t="e">
        <f>IF(#REF!=L17,"OK","ERRO")</f>
        <v>#REF!</v>
      </c>
      <c r="T17" s="9" t="e">
        <f>IF(N17=M17+#REF!,"OK","ERRO")</f>
        <v>#REF!</v>
      </c>
      <c r="U17" s="20" t="e">
        <f>IF(#REF!=(P17+O17),"OK","ERRO")</f>
        <v>#REF!</v>
      </c>
    </row>
    <row r="18" spans="1:21" ht="23.25" x14ac:dyDescent="0.3">
      <c r="A18" s="414"/>
      <c r="B18" s="412"/>
      <c r="C18" s="80">
        <v>4.5</v>
      </c>
      <c r="D18" s="81">
        <v>2.7</v>
      </c>
      <c r="E18" s="81">
        <f>0.9*2.1</f>
        <v>1.8900000000000001</v>
      </c>
      <c r="F18" s="101">
        <f t="shared" ref="F18:F19" si="4">ROUND((C18*D18)-E18,2)</f>
        <v>10.26</v>
      </c>
      <c r="G18" s="191"/>
      <c r="H18" s="82"/>
      <c r="I18" s="82"/>
      <c r="J18" s="208"/>
      <c r="K18" s="207"/>
      <c r="L18" s="80">
        <f>0.6*0.6</f>
        <v>0.36</v>
      </c>
      <c r="M18" s="81">
        <f>F18-L18</f>
        <v>9.9</v>
      </c>
      <c r="N18" s="83">
        <f>M18</f>
        <v>9.9</v>
      </c>
      <c r="O18" s="81"/>
      <c r="P18" s="81"/>
      <c r="Q18" s="83"/>
      <c r="S18" s="4" t="e">
        <f>IF(#REF!=L18,"OK","ERRO")</f>
        <v>#REF!</v>
      </c>
      <c r="T18" s="9" t="e">
        <f>IF(N18=M18+#REF!,"OK","ERRO")</f>
        <v>#REF!</v>
      </c>
      <c r="U18" s="20" t="e">
        <f>IF(#REF!=(P18+O18),"OK","ERRO")</f>
        <v>#REF!</v>
      </c>
    </row>
    <row r="19" spans="1:21" ht="23.25" x14ac:dyDescent="0.3">
      <c r="A19" s="414"/>
      <c r="B19" s="412"/>
      <c r="C19" s="80">
        <v>3.3</v>
      </c>
      <c r="D19" s="81">
        <v>2.7</v>
      </c>
      <c r="E19" s="81">
        <f>2*1</f>
        <v>2</v>
      </c>
      <c r="F19" s="101">
        <f t="shared" si="4"/>
        <v>6.91</v>
      </c>
      <c r="G19" s="191"/>
      <c r="H19" s="82"/>
      <c r="I19" s="82"/>
      <c r="J19" s="190"/>
      <c r="K19" s="207"/>
      <c r="L19" s="80">
        <f>(1.5*0.6)-(0.85*0.6)</f>
        <v>0.3899999999999999</v>
      </c>
      <c r="M19" s="81">
        <f>F19-L19</f>
        <v>6.5200000000000005</v>
      </c>
      <c r="N19" s="83">
        <f>M19</f>
        <v>6.5200000000000005</v>
      </c>
      <c r="O19" s="81"/>
      <c r="P19" s="81"/>
      <c r="Q19" s="83"/>
      <c r="S19" s="4" t="e">
        <f>IF(#REF!=L19,"OK","ERRO")</f>
        <v>#REF!</v>
      </c>
      <c r="T19" s="9" t="e">
        <f>IF(N19=M19+#REF!,"OK","ERRO")</f>
        <v>#REF!</v>
      </c>
      <c r="U19" s="20" t="e">
        <f>IF(#REF!=(P19+O19),"OK","ERRO")</f>
        <v>#REF!</v>
      </c>
    </row>
    <row r="20" spans="1:21" ht="24" thickBot="1" x14ac:dyDescent="0.35">
      <c r="A20" s="415"/>
      <c r="B20" s="416"/>
      <c r="C20" s="196"/>
      <c r="D20" s="104"/>
      <c r="E20" s="104"/>
      <c r="F20" s="197"/>
      <c r="G20" s="85">
        <v>4.4800000000000004</v>
      </c>
      <c r="H20" s="86">
        <v>2.7</v>
      </c>
      <c r="I20" s="94"/>
      <c r="J20" s="83">
        <f t="shared" ref="J20" si="5">ROUND((G20*H20)-I20,2)</f>
        <v>12.1</v>
      </c>
      <c r="K20" s="207"/>
      <c r="L20" s="193"/>
      <c r="M20" s="86">
        <f>J20</f>
        <v>12.1</v>
      </c>
      <c r="N20" s="87">
        <f>J20</f>
        <v>12.1</v>
      </c>
      <c r="O20" s="86"/>
      <c r="P20" s="86"/>
      <c r="Q20" s="87"/>
      <c r="S20" s="4" t="e">
        <f>IF(#REF!=L20,"OK","ERRO")</f>
        <v>#REF!</v>
      </c>
      <c r="T20" s="9" t="e">
        <f>IF(N20=M20+#REF!,"OK","ERRO")</f>
        <v>#REF!</v>
      </c>
      <c r="U20" s="20" t="e">
        <f>IF(#REF!=(P20+O20),"OK","ERRO")</f>
        <v>#REF!</v>
      </c>
    </row>
    <row r="21" spans="1:21" ht="23.25" x14ac:dyDescent="0.3">
      <c r="A21" s="413">
        <v>4</v>
      </c>
      <c r="B21" s="411" t="s">
        <v>153</v>
      </c>
      <c r="C21" s="224">
        <v>2.19</v>
      </c>
      <c r="D21" s="78">
        <v>2.7</v>
      </c>
      <c r="E21" s="78">
        <f>0.9*2.1</f>
        <v>1.8900000000000001</v>
      </c>
      <c r="F21" s="79">
        <f t="shared" ref="F21:F29" si="6">ROUND((C21*D21)-E21,2)</f>
        <v>4.0199999999999996</v>
      </c>
      <c r="G21" s="209"/>
      <c r="H21" s="210"/>
      <c r="I21" s="210"/>
      <c r="J21" s="211"/>
      <c r="K21" s="207"/>
      <c r="L21" s="77">
        <f>(C21*2.1)-E21</f>
        <v>2.7090000000000001</v>
      </c>
      <c r="M21" s="78">
        <f>F21-L21</f>
        <v>1.3109999999999995</v>
      </c>
      <c r="N21" s="79">
        <f>M21</f>
        <v>1.3109999999999995</v>
      </c>
      <c r="O21" s="78">
        <v>4.93</v>
      </c>
      <c r="P21" s="78">
        <f>O21</f>
        <v>4.93</v>
      </c>
      <c r="Q21" s="79">
        <f>O21</f>
        <v>4.93</v>
      </c>
      <c r="S21" s="4" t="e">
        <f>IF(#REF!=L21,"OK","ERRO")</f>
        <v>#REF!</v>
      </c>
      <c r="T21" s="9" t="e">
        <f>IF(N21=M21+#REF!,"OK","ERRO")</f>
        <v>#REF!</v>
      </c>
      <c r="U21" s="20" t="e">
        <f>IF(#REF!=(P21+O21),"OK","ERRO")</f>
        <v>#REF!</v>
      </c>
    </row>
    <row r="22" spans="1:21" ht="23.25" x14ac:dyDescent="0.3">
      <c r="A22" s="414"/>
      <c r="B22" s="412"/>
      <c r="C22" s="225">
        <v>2.25</v>
      </c>
      <c r="D22" s="81">
        <v>2.7</v>
      </c>
      <c r="E22" s="81"/>
      <c r="F22" s="83">
        <f t="shared" si="6"/>
        <v>6.08</v>
      </c>
      <c r="G22" s="191"/>
      <c r="H22" s="82"/>
      <c r="I22" s="82"/>
      <c r="J22" s="190"/>
      <c r="K22" s="207"/>
      <c r="L22" s="90">
        <f>C22*2.1</f>
        <v>4.7250000000000005</v>
      </c>
      <c r="M22" s="81">
        <f>F22-L22</f>
        <v>1.3549999999999995</v>
      </c>
      <c r="N22" s="83">
        <f>M22</f>
        <v>1.3549999999999995</v>
      </c>
      <c r="O22" s="81"/>
      <c r="P22" s="81"/>
      <c r="Q22" s="83"/>
      <c r="S22" s="4" t="e">
        <f>IF(#REF!=L22,"OK","ERRO")</f>
        <v>#REF!</v>
      </c>
      <c r="T22" s="9" t="e">
        <f>IF(N22=M22+#REF!,"OK","ERRO")</f>
        <v>#REF!</v>
      </c>
      <c r="U22" s="20" t="e">
        <f>IF(#REF!=(P22+O22),"OK","ERRO")</f>
        <v>#REF!</v>
      </c>
    </row>
    <row r="23" spans="1:21" ht="23.25" x14ac:dyDescent="0.3">
      <c r="A23" s="414"/>
      <c r="B23" s="412"/>
      <c r="C23" s="225">
        <v>2.19</v>
      </c>
      <c r="D23" s="81">
        <v>2.7</v>
      </c>
      <c r="E23" s="81">
        <f>1*0.5</f>
        <v>0.5</v>
      </c>
      <c r="F23" s="83">
        <f t="shared" si="6"/>
        <v>5.41</v>
      </c>
      <c r="G23" s="191"/>
      <c r="H23" s="212"/>
      <c r="I23" s="82"/>
      <c r="J23" s="190"/>
      <c r="K23" s="207"/>
      <c r="L23" s="90">
        <f>(C23*2.1)-E23</f>
        <v>4.0990000000000002</v>
      </c>
      <c r="M23" s="81">
        <f>F23-L23</f>
        <v>1.3109999999999999</v>
      </c>
      <c r="N23" s="83">
        <f>M23</f>
        <v>1.3109999999999999</v>
      </c>
      <c r="O23" s="81"/>
      <c r="P23" s="81"/>
      <c r="Q23" s="83"/>
      <c r="S23" s="4" t="e">
        <f>IF(#REF!=L23,"OK","ERRO")</f>
        <v>#REF!</v>
      </c>
      <c r="T23" s="9" t="e">
        <f>IF(N23=M23+#REF!,"OK","ERRO")</f>
        <v>#REF!</v>
      </c>
      <c r="U23" s="20" t="e">
        <f>IF(#REF!=(P23+O23),"OK","ERRO")</f>
        <v>#REF!</v>
      </c>
    </row>
    <row r="24" spans="1:21" ht="24" thickBot="1" x14ac:dyDescent="0.35">
      <c r="A24" s="415"/>
      <c r="B24" s="416"/>
      <c r="C24" s="226">
        <v>2.25</v>
      </c>
      <c r="D24" s="86">
        <v>2.7</v>
      </c>
      <c r="E24" s="86"/>
      <c r="F24" s="87">
        <f t="shared" si="6"/>
        <v>6.08</v>
      </c>
      <c r="G24" s="193"/>
      <c r="H24" s="213"/>
      <c r="I24" s="94"/>
      <c r="J24" s="194"/>
      <c r="K24" s="207"/>
      <c r="L24" s="105">
        <f>C24*2.1</f>
        <v>4.7250000000000005</v>
      </c>
      <c r="M24" s="86">
        <f>F24-L24</f>
        <v>1.3549999999999995</v>
      </c>
      <c r="N24" s="87">
        <f>M24</f>
        <v>1.3549999999999995</v>
      </c>
      <c r="O24" s="89"/>
      <c r="P24" s="89"/>
      <c r="Q24" s="93"/>
      <c r="S24" s="4" t="e">
        <f>IF(#REF!=L24,"OK","ERRO")</f>
        <v>#REF!</v>
      </c>
      <c r="T24" s="9" t="e">
        <f>IF(N24=M24+#REF!,"OK","ERRO")</f>
        <v>#REF!</v>
      </c>
      <c r="U24" s="20" t="e">
        <f>IF(#REF!=(P24+O24),"OK","ERRO")</f>
        <v>#REF!</v>
      </c>
    </row>
    <row r="25" spans="1:21" ht="23.25" x14ac:dyDescent="0.3">
      <c r="A25" s="413">
        <v>5</v>
      </c>
      <c r="B25" s="411" t="s">
        <v>114</v>
      </c>
      <c r="C25" s="185"/>
      <c r="D25" s="78"/>
      <c r="E25" s="84"/>
      <c r="F25" s="437"/>
      <c r="G25" s="77">
        <v>5.68</v>
      </c>
      <c r="H25" s="78">
        <v>2.7</v>
      </c>
      <c r="I25" s="78">
        <f>1*2.1</f>
        <v>2.1</v>
      </c>
      <c r="J25" s="79">
        <f t="shared" ref="J25" si="7">ROUND((G25*H25)-I25,2)</f>
        <v>13.24</v>
      </c>
      <c r="K25" s="207"/>
      <c r="L25" s="77"/>
      <c r="M25" s="78">
        <f>J25</f>
        <v>13.24</v>
      </c>
      <c r="N25" s="79">
        <f>J25</f>
        <v>13.24</v>
      </c>
      <c r="O25" s="78">
        <v>20.04</v>
      </c>
      <c r="P25" s="78">
        <f>O25</f>
        <v>20.04</v>
      </c>
      <c r="Q25" s="79">
        <f>O25</f>
        <v>20.04</v>
      </c>
      <c r="S25" s="4" t="e">
        <f>IF(#REF!=L25,"OK","ERRO")</f>
        <v>#REF!</v>
      </c>
      <c r="T25" s="9" t="e">
        <f>IF(N25=M25+#REF!,"OK","ERRO")</f>
        <v>#REF!</v>
      </c>
      <c r="U25" s="20" t="e">
        <f>IF(#REF!=(P25+O25),"OK","ERRO")</f>
        <v>#REF!</v>
      </c>
    </row>
    <row r="26" spans="1:21" ht="37.5" x14ac:dyDescent="0.3">
      <c r="A26" s="414"/>
      <c r="B26" s="412"/>
      <c r="C26" s="191"/>
      <c r="D26" s="81"/>
      <c r="E26" s="82"/>
      <c r="F26" s="190"/>
      <c r="G26" s="80">
        <v>4.4800000000000004</v>
      </c>
      <c r="H26" s="81">
        <v>2.7</v>
      </c>
      <c r="I26" s="82"/>
      <c r="J26" s="257" t="s">
        <v>156</v>
      </c>
      <c r="K26" s="207"/>
      <c r="L26" s="80">
        <f>0.6*0.6</f>
        <v>0.36</v>
      </c>
      <c r="M26" s="81">
        <f>(G26*H26)-L26</f>
        <v>11.736000000000002</v>
      </c>
      <c r="N26" s="83">
        <f>M26</f>
        <v>11.736000000000002</v>
      </c>
      <c r="O26" s="81"/>
      <c r="P26" s="81"/>
      <c r="Q26" s="83"/>
      <c r="S26" s="4" t="e">
        <f>IF(#REF!=L26,"OK","ERRO")</f>
        <v>#REF!</v>
      </c>
      <c r="T26" s="9" t="e">
        <f>IF(N26=M26+#REF!,"OK","ERRO")</f>
        <v>#REF!</v>
      </c>
      <c r="U26" s="20" t="e">
        <f>IF(#REF!=(P26+O26),"OK","ERRO")</f>
        <v>#REF!</v>
      </c>
    </row>
    <row r="27" spans="1:21" ht="23.25" x14ac:dyDescent="0.3">
      <c r="A27" s="414"/>
      <c r="B27" s="412"/>
      <c r="C27" s="80">
        <v>3.75</v>
      </c>
      <c r="D27" s="81">
        <v>2.7</v>
      </c>
      <c r="E27" s="81">
        <f>2*1</f>
        <v>2</v>
      </c>
      <c r="F27" s="83">
        <f t="shared" si="6"/>
        <v>8.1300000000000008</v>
      </c>
      <c r="G27" s="191"/>
      <c r="H27" s="82"/>
      <c r="I27" s="82"/>
      <c r="J27" s="190"/>
      <c r="K27" s="207"/>
      <c r="L27" s="80">
        <f>(1.5*0.6)-(1*0.6)</f>
        <v>0.29999999999999993</v>
      </c>
      <c r="M27" s="81">
        <f>F27-L27</f>
        <v>7.830000000000001</v>
      </c>
      <c r="N27" s="83">
        <f>M27</f>
        <v>7.830000000000001</v>
      </c>
      <c r="O27" s="81"/>
      <c r="P27" s="81"/>
      <c r="Q27" s="83"/>
      <c r="T27" s="9"/>
      <c r="U27" s="20"/>
    </row>
    <row r="28" spans="1:21" ht="23.25" x14ac:dyDescent="0.3">
      <c r="A28" s="414"/>
      <c r="B28" s="412"/>
      <c r="C28" s="80">
        <v>2.8</v>
      </c>
      <c r="D28" s="81">
        <v>2.7</v>
      </c>
      <c r="E28" s="81">
        <f>0.9*2.1</f>
        <v>1.8900000000000001</v>
      </c>
      <c r="F28" s="83">
        <f t="shared" si="6"/>
        <v>5.67</v>
      </c>
      <c r="G28" s="80"/>
      <c r="H28" s="81"/>
      <c r="I28" s="81"/>
      <c r="J28" s="83"/>
      <c r="K28" s="227"/>
      <c r="L28" s="80"/>
      <c r="M28" s="81">
        <f>F28</f>
        <v>5.67</v>
      </c>
      <c r="N28" s="83">
        <f>F28</f>
        <v>5.67</v>
      </c>
      <c r="O28" s="81"/>
      <c r="P28" s="81"/>
      <c r="Q28" s="83"/>
      <c r="T28" s="9"/>
      <c r="U28" s="20"/>
    </row>
    <row r="29" spans="1:21" ht="23.25" x14ac:dyDescent="0.3">
      <c r="A29" s="414"/>
      <c r="B29" s="412"/>
      <c r="C29" s="88">
        <v>1.93</v>
      </c>
      <c r="D29" s="81">
        <v>2.7</v>
      </c>
      <c r="E29" s="89"/>
      <c r="F29" s="83">
        <f t="shared" si="6"/>
        <v>5.21</v>
      </c>
      <c r="G29" s="80"/>
      <c r="H29" s="81"/>
      <c r="I29" s="81"/>
      <c r="J29" s="83"/>
      <c r="K29" s="227"/>
      <c r="L29" s="80"/>
      <c r="M29" s="81">
        <f>F29</f>
        <v>5.21</v>
      </c>
      <c r="N29" s="83">
        <f>F29</f>
        <v>5.21</v>
      </c>
      <c r="O29" s="89"/>
      <c r="P29" s="89"/>
      <c r="Q29" s="93"/>
      <c r="T29" s="9"/>
      <c r="U29" s="20"/>
    </row>
    <row r="30" spans="1:21" ht="38.25" thickBot="1" x14ac:dyDescent="0.35">
      <c r="A30" s="415"/>
      <c r="B30" s="416"/>
      <c r="C30" s="193"/>
      <c r="D30" s="86"/>
      <c r="E30" s="94"/>
      <c r="F30" s="214"/>
      <c r="G30" s="85">
        <v>1.68</v>
      </c>
      <c r="H30" s="86">
        <v>2.7</v>
      </c>
      <c r="I30" s="86"/>
      <c r="J30" s="256" t="s">
        <v>157</v>
      </c>
      <c r="K30" s="227"/>
      <c r="L30" s="85"/>
      <c r="M30" s="86">
        <f>G30*H30</f>
        <v>4.5360000000000005</v>
      </c>
      <c r="N30" s="87">
        <f>M30</f>
        <v>4.5360000000000005</v>
      </c>
      <c r="O30" s="86"/>
      <c r="P30" s="86"/>
      <c r="Q30" s="87"/>
      <c r="T30" s="9"/>
      <c r="U30" s="20"/>
    </row>
    <row r="31" spans="1:21" ht="42" customHeight="1" x14ac:dyDescent="0.3">
      <c r="A31" s="413">
        <v>6</v>
      </c>
      <c r="B31" s="411" t="s">
        <v>154</v>
      </c>
      <c r="C31" s="77">
        <v>1.73</v>
      </c>
      <c r="D31" s="78">
        <v>2.7</v>
      </c>
      <c r="E31" s="78"/>
      <c r="F31" s="79">
        <f t="shared" ref="F31:F35" si="8">ROUND((C31*D31)-E31,2)</f>
        <v>4.67</v>
      </c>
      <c r="G31" s="185"/>
      <c r="H31" s="84"/>
      <c r="I31" s="84"/>
      <c r="J31" s="215"/>
      <c r="K31" s="207"/>
      <c r="L31" s="77">
        <f>C31*2.1</f>
        <v>3.633</v>
      </c>
      <c r="M31" s="78">
        <f>F31-L31</f>
        <v>1.0369999999999999</v>
      </c>
      <c r="N31" s="79">
        <f>M31</f>
        <v>1.0369999999999999</v>
      </c>
      <c r="O31" s="78">
        <v>4.58</v>
      </c>
      <c r="P31" s="78">
        <f>O31</f>
        <v>4.58</v>
      </c>
      <c r="Q31" s="79">
        <f>O31</f>
        <v>4.58</v>
      </c>
      <c r="S31" s="4" t="e">
        <f>IF(#REF!=L31,"OK","ERRO")</f>
        <v>#REF!</v>
      </c>
      <c r="T31" s="9" t="e">
        <f>IF(N31=M31+#REF!,"OK","ERRO")</f>
        <v>#REF!</v>
      </c>
      <c r="U31" s="20" t="e">
        <f>IF(#REF!=(P31+O31),"OK","ERRO")</f>
        <v>#REF!</v>
      </c>
    </row>
    <row r="32" spans="1:21" ht="23.25" x14ac:dyDescent="0.3">
      <c r="A32" s="414"/>
      <c r="B32" s="412"/>
      <c r="C32" s="80">
        <v>2.65</v>
      </c>
      <c r="D32" s="81">
        <v>2.7</v>
      </c>
      <c r="E32" s="81">
        <f>0.9*2.1</f>
        <v>1.8900000000000001</v>
      </c>
      <c r="F32" s="83">
        <f t="shared" si="8"/>
        <v>5.27</v>
      </c>
      <c r="G32" s="191"/>
      <c r="H32" s="82"/>
      <c r="I32" s="82"/>
      <c r="J32" s="208"/>
      <c r="K32" s="207"/>
      <c r="L32" s="90">
        <f>(C32*2.1)-E32</f>
        <v>3.6750000000000003</v>
      </c>
      <c r="M32" s="81">
        <f>F32-L32</f>
        <v>1.5949999999999993</v>
      </c>
      <c r="N32" s="83">
        <f>M32</f>
        <v>1.5949999999999993</v>
      </c>
      <c r="O32" s="81"/>
      <c r="P32" s="81"/>
      <c r="Q32" s="83"/>
      <c r="S32" s="4" t="e">
        <f>IF(#REF!=L32,"OK","ERRO")</f>
        <v>#REF!</v>
      </c>
      <c r="T32" s="9" t="e">
        <f>IF(N32=M32+#REF!,"OK","ERRO")</f>
        <v>#REF!</v>
      </c>
      <c r="U32" s="20" t="e">
        <f>IF(#REF!=(P32+O32),"OK","ERRO")</f>
        <v>#REF!</v>
      </c>
    </row>
    <row r="33" spans="1:21" ht="23.25" x14ac:dyDescent="0.3">
      <c r="A33" s="414"/>
      <c r="B33" s="412"/>
      <c r="C33" s="88">
        <v>1.73</v>
      </c>
      <c r="D33" s="81">
        <v>2.7</v>
      </c>
      <c r="E33" s="89">
        <f>1*0.5</f>
        <v>0.5</v>
      </c>
      <c r="F33" s="83">
        <f t="shared" si="8"/>
        <v>4.17</v>
      </c>
      <c r="G33" s="196"/>
      <c r="H33" s="104"/>
      <c r="I33" s="104"/>
      <c r="J33" s="217"/>
      <c r="K33" s="207"/>
      <c r="L33" s="90">
        <f>(C33*2.1)-E33</f>
        <v>3.133</v>
      </c>
      <c r="M33" s="81">
        <f>F33-L33</f>
        <v>1.0369999999999999</v>
      </c>
      <c r="N33" s="83">
        <f>M33</f>
        <v>1.0369999999999999</v>
      </c>
      <c r="O33" s="81"/>
      <c r="P33" s="81"/>
      <c r="Q33" s="83"/>
      <c r="T33" s="9"/>
      <c r="U33" s="20"/>
    </row>
    <row r="34" spans="1:21" ht="24" thickBot="1" x14ac:dyDescent="0.35">
      <c r="A34" s="414"/>
      <c r="B34" s="412"/>
      <c r="C34" s="85">
        <v>2.65</v>
      </c>
      <c r="D34" s="86">
        <v>2.7</v>
      </c>
      <c r="E34" s="86"/>
      <c r="F34" s="87">
        <f t="shared" si="8"/>
        <v>7.16</v>
      </c>
      <c r="G34" s="196"/>
      <c r="H34" s="216"/>
      <c r="I34" s="104"/>
      <c r="J34" s="217"/>
      <c r="K34" s="207"/>
      <c r="L34" s="105">
        <f>C34*2.1</f>
        <v>5.5650000000000004</v>
      </c>
      <c r="M34" s="81">
        <f>F34-L34</f>
        <v>1.5949999999999998</v>
      </c>
      <c r="N34" s="83">
        <f>M34</f>
        <v>1.5949999999999998</v>
      </c>
      <c r="O34" s="81"/>
      <c r="P34" s="81"/>
      <c r="Q34" s="83"/>
      <c r="S34" s="4" t="e">
        <f>IF(#REF!=L34,"OK","ERRO")</f>
        <v>#REF!</v>
      </c>
      <c r="T34" s="9" t="e">
        <f>IF(N34=M34+#REF!,"OK","ERRO")</f>
        <v>#REF!</v>
      </c>
      <c r="U34" s="20" t="e">
        <f>IF(#REF!=(P34+O34),"OK","ERRO")</f>
        <v>#REF!</v>
      </c>
    </row>
    <row r="35" spans="1:21" ht="23.25" x14ac:dyDescent="0.3">
      <c r="A35" s="413">
        <v>7</v>
      </c>
      <c r="B35" s="411" t="s">
        <v>127</v>
      </c>
      <c r="C35" s="90">
        <v>1.58</v>
      </c>
      <c r="D35" s="91">
        <v>2.7</v>
      </c>
      <c r="E35" s="91"/>
      <c r="F35" s="92">
        <f t="shared" si="8"/>
        <v>4.2699999999999996</v>
      </c>
      <c r="G35" s="185"/>
      <c r="H35" s="84"/>
      <c r="I35" s="84"/>
      <c r="J35" s="427"/>
      <c r="K35" s="207"/>
      <c r="L35" s="185"/>
      <c r="M35" s="78">
        <f>F35</f>
        <v>4.2699999999999996</v>
      </c>
      <c r="N35" s="79">
        <f>F35</f>
        <v>4.2699999999999996</v>
      </c>
      <c r="O35" s="78">
        <v>3.92</v>
      </c>
      <c r="P35" s="78">
        <f>O35</f>
        <v>3.92</v>
      </c>
      <c r="Q35" s="79">
        <f>O35</f>
        <v>3.92</v>
      </c>
      <c r="S35" s="4" t="e">
        <f>IF(#REF!=L35,"OK","ERRO")</f>
        <v>#REF!</v>
      </c>
      <c r="T35" s="9" t="e">
        <f>IF(N35=M35+#REF!,"OK","ERRO")</f>
        <v>#REF!</v>
      </c>
      <c r="U35" s="20" t="e">
        <f>IF(#REF!=(P35+O35),"OK","ERRO")</f>
        <v>#REF!</v>
      </c>
    </row>
    <row r="36" spans="1:21" ht="23.25" x14ac:dyDescent="0.3">
      <c r="A36" s="414"/>
      <c r="B36" s="412"/>
      <c r="C36" s="191"/>
      <c r="D36" s="82"/>
      <c r="E36" s="82"/>
      <c r="F36" s="190"/>
      <c r="G36" s="80">
        <v>1.58</v>
      </c>
      <c r="H36" s="81">
        <v>2.7</v>
      </c>
      <c r="I36" s="81">
        <f>1*2.1</f>
        <v>2.1</v>
      </c>
      <c r="J36" s="83">
        <f t="shared" ref="J36:J38" si="9">ROUND((G36*H36)-I36,2)</f>
        <v>2.17</v>
      </c>
      <c r="K36" s="207"/>
      <c r="L36" s="191"/>
      <c r="M36" s="81">
        <f>J36</f>
        <v>2.17</v>
      </c>
      <c r="N36" s="83">
        <f>J36</f>
        <v>2.17</v>
      </c>
      <c r="O36" s="81"/>
      <c r="P36" s="81"/>
      <c r="Q36" s="83"/>
      <c r="S36" s="4" t="e">
        <f>IF(#REF!=L36,"OK","ERRO")</f>
        <v>#REF!</v>
      </c>
      <c r="T36" s="9" t="e">
        <f>IF(N36=M36+#REF!,"OK","ERRO")</f>
        <v>#REF!</v>
      </c>
      <c r="U36" s="20" t="e">
        <f>IF(#REF!=(P36+O36),"OK","ERRO")</f>
        <v>#REF!</v>
      </c>
    </row>
    <row r="37" spans="1:21" ht="23.25" x14ac:dyDescent="0.3">
      <c r="A37" s="414"/>
      <c r="B37" s="412"/>
      <c r="C37" s="191"/>
      <c r="D37" s="82"/>
      <c r="E37" s="82"/>
      <c r="F37" s="190"/>
      <c r="G37" s="80">
        <v>2.48</v>
      </c>
      <c r="H37" s="81">
        <v>2.7</v>
      </c>
      <c r="I37" s="82"/>
      <c r="J37" s="83">
        <f t="shared" si="9"/>
        <v>6.7</v>
      </c>
      <c r="K37" s="207"/>
      <c r="L37" s="191"/>
      <c r="M37" s="81">
        <f>J37</f>
        <v>6.7</v>
      </c>
      <c r="N37" s="83">
        <f>J37</f>
        <v>6.7</v>
      </c>
      <c r="O37" s="81"/>
      <c r="P37" s="81"/>
      <c r="Q37" s="83"/>
      <c r="S37" s="4" t="e">
        <f>IF(#REF!=L37,"OK","ERRO")</f>
        <v>#REF!</v>
      </c>
      <c r="T37" s="9" t="e">
        <f>IF(N37=M37+#REF!,"OK","ERRO")</f>
        <v>#REF!</v>
      </c>
      <c r="U37" s="20" t="e">
        <f>IF(#REF!=(P37+O37),"OK","ERRO")</f>
        <v>#REF!</v>
      </c>
    </row>
    <row r="38" spans="1:21" ht="24" thickBot="1" x14ac:dyDescent="0.35">
      <c r="A38" s="414"/>
      <c r="B38" s="412"/>
      <c r="C38" s="88">
        <v>0.8</v>
      </c>
      <c r="D38" s="89">
        <v>2.7</v>
      </c>
      <c r="E38" s="89"/>
      <c r="F38" s="83">
        <f t="shared" ref="F38:F42" si="10">ROUND((C38*D38)-E38,2)</f>
        <v>2.16</v>
      </c>
      <c r="G38" s="88">
        <v>1.68</v>
      </c>
      <c r="H38" s="89">
        <v>2.7</v>
      </c>
      <c r="I38" s="89"/>
      <c r="J38" s="83">
        <f t="shared" si="9"/>
        <v>4.54</v>
      </c>
      <c r="K38" s="207"/>
      <c r="L38" s="196"/>
      <c r="M38" s="89">
        <f>F38+J38</f>
        <v>6.7</v>
      </c>
      <c r="N38" s="93">
        <f>M38</f>
        <v>6.7</v>
      </c>
      <c r="O38" s="89"/>
      <c r="P38" s="89"/>
      <c r="Q38" s="93"/>
      <c r="T38" s="9" t="e">
        <f>IF(N38=M38+#REF!,"OK","ERRO")</f>
        <v>#REF!</v>
      </c>
      <c r="U38" s="20"/>
    </row>
    <row r="39" spans="1:21" ht="23.25" x14ac:dyDescent="0.3">
      <c r="A39" s="413">
        <v>8</v>
      </c>
      <c r="B39" s="411" t="s">
        <v>117</v>
      </c>
      <c r="C39" s="77">
        <v>2.89</v>
      </c>
      <c r="D39" s="78">
        <v>2.7</v>
      </c>
      <c r="E39" s="78">
        <f>2*1</f>
        <v>2</v>
      </c>
      <c r="F39" s="79">
        <f t="shared" si="10"/>
        <v>5.8</v>
      </c>
      <c r="G39" s="185"/>
      <c r="H39" s="84"/>
      <c r="I39" s="84"/>
      <c r="J39" s="427"/>
      <c r="K39" s="207"/>
      <c r="L39" s="185"/>
      <c r="M39" s="78">
        <f>F39</f>
        <v>5.8</v>
      </c>
      <c r="N39" s="79">
        <f>F39</f>
        <v>5.8</v>
      </c>
      <c r="O39" s="78">
        <v>12.72</v>
      </c>
      <c r="P39" s="78">
        <f>O39</f>
        <v>12.72</v>
      </c>
      <c r="Q39" s="79">
        <f>O39</f>
        <v>12.72</v>
      </c>
      <c r="S39" s="4" t="e">
        <f>IF(#REF!=L39,"OK","ERRO")</f>
        <v>#REF!</v>
      </c>
      <c r="T39" s="9" t="e">
        <f>IF(N39=M39+#REF!,"OK","ERRO")</f>
        <v>#REF!</v>
      </c>
      <c r="U39" s="20" t="e">
        <f>IF(#REF!=(P39+O39),"OK","ERRO")</f>
        <v>#REF!</v>
      </c>
    </row>
    <row r="40" spans="1:21" ht="23.25" x14ac:dyDescent="0.3">
      <c r="A40" s="414"/>
      <c r="B40" s="412"/>
      <c r="C40" s="80">
        <v>4.4800000000000004</v>
      </c>
      <c r="D40" s="81">
        <v>2.7</v>
      </c>
      <c r="E40" s="81">
        <f>1*2.1</f>
        <v>2.1</v>
      </c>
      <c r="F40" s="83">
        <f t="shared" si="10"/>
        <v>10</v>
      </c>
      <c r="G40" s="191"/>
      <c r="H40" s="82"/>
      <c r="I40" s="82"/>
      <c r="J40" s="208"/>
      <c r="K40" s="207"/>
      <c r="L40" s="191"/>
      <c r="M40" s="81">
        <f>F40</f>
        <v>10</v>
      </c>
      <c r="N40" s="83">
        <f>F40</f>
        <v>10</v>
      </c>
      <c r="O40" s="81"/>
      <c r="P40" s="81"/>
      <c r="Q40" s="83"/>
      <c r="S40" s="4" t="e">
        <f>IF(#REF!=L40,"OK","ERRO")</f>
        <v>#REF!</v>
      </c>
      <c r="T40" s="9" t="e">
        <f>IF(N40=M40+#REF!,"OK","ERRO")</f>
        <v>#REF!</v>
      </c>
      <c r="U40" s="20" t="e">
        <f>IF(#REF!=(P40+O40),"OK","ERRO")</f>
        <v>#REF!</v>
      </c>
    </row>
    <row r="41" spans="1:21" ht="23.25" x14ac:dyDescent="0.3">
      <c r="A41" s="414"/>
      <c r="B41" s="412"/>
      <c r="C41" s="191"/>
      <c r="D41" s="82"/>
      <c r="E41" s="82"/>
      <c r="F41" s="146"/>
      <c r="G41" s="80">
        <v>2.84</v>
      </c>
      <c r="H41" s="81">
        <v>2.7</v>
      </c>
      <c r="I41" s="81"/>
      <c r="J41" s="83">
        <f t="shared" ref="J41" si="11">ROUND((G41*H41)-I41,2)</f>
        <v>7.67</v>
      </c>
      <c r="K41" s="207"/>
      <c r="L41" s="191"/>
      <c r="M41" s="81">
        <f>J41</f>
        <v>7.67</v>
      </c>
      <c r="N41" s="83">
        <f>J41</f>
        <v>7.67</v>
      </c>
      <c r="O41" s="81"/>
      <c r="P41" s="81"/>
      <c r="Q41" s="83"/>
      <c r="S41" s="4" t="e">
        <f>IF(#REF!=L41,"OK","ERRO")</f>
        <v>#REF!</v>
      </c>
      <c r="T41" s="9" t="e">
        <f>IF(N41=M41+#REF!,"OK","ERRO")</f>
        <v>#REF!</v>
      </c>
      <c r="U41" s="20" t="e">
        <f>IF(#REF!=(P41+O41),"OK","ERRO")</f>
        <v>#REF!</v>
      </c>
    </row>
    <row r="42" spans="1:21" ht="23.25" x14ac:dyDescent="0.3">
      <c r="A42" s="414"/>
      <c r="B42" s="412"/>
      <c r="C42" s="88">
        <v>2</v>
      </c>
      <c r="D42" s="89">
        <v>2.7</v>
      </c>
      <c r="E42" s="81">
        <f>0.9*2.1</f>
        <v>1.8900000000000001</v>
      </c>
      <c r="F42" s="83">
        <f t="shared" si="10"/>
        <v>3.51</v>
      </c>
      <c r="G42" s="88"/>
      <c r="H42" s="89"/>
      <c r="I42" s="89"/>
      <c r="J42" s="93"/>
      <c r="K42" s="207"/>
      <c r="L42" s="196"/>
      <c r="M42" s="89">
        <f>F42</f>
        <v>3.51</v>
      </c>
      <c r="N42" s="93">
        <f>F42</f>
        <v>3.51</v>
      </c>
      <c r="O42" s="89"/>
      <c r="P42" s="89"/>
      <c r="Q42" s="93"/>
      <c r="T42" s="9"/>
      <c r="U42" s="20"/>
    </row>
    <row r="43" spans="1:21" ht="38.25" thickBot="1" x14ac:dyDescent="0.35">
      <c r="A43" s="415"/>
      <c r="B43" s="416"/>
      <c r="C43" s="193"/>
      <c r="D43" s="94"/>
      <c r="E43" s="94"/>
      <c r="F43" s="214"/>
      <c r="G43" s="85">
        <v>2.48</v>
      </c>
      <c r="H43" s="86">
        <v>2.7</v>
      </c>
      <c r="I43" s="86"/>
      <c r="J43" s="256" t="s">
        <v>157</v>
      </c>
      <c r="K43" s="207"/>
      <c r="L43" s="193"/>
      <c r="M43" s="86">
        <f>G43*H43</f>
        <v>6.6960000000000006</v>
      </c>
      <c r="N43" s="87">
        <f t="shared" ref="N43:N53" si="12">M43</f>
        <v>6.6960000000000006</v>
      </c>
      <c r="O43" s="86"/>
      <c r="P43" s="86"/>
      <c r="Q43" s="87"/>
      <c r="S43" s="4" t="e">
        <f>IF(#REF!=L43,"OK","ERRO")</f>
        <v>#REF!</v>
      </c>
      <c r="T43" s="9" t="e">
        <f>IF(N43=M43+#REF!,"OK","ERRO")</f>
        <v>#REF!</v>
      </c>
      <c r="U43" s="20" t="e">
        <f>IF(#REF!=(P43+O43),"OK","ERRO")</f>
        <v>#REF!</v>
      </c>
    </row>
    <row r="44" spans="1:21" ht="23.25" x14ac:dyDescent="0.3">
      <c r="A44" s="413">
        <v>9</v>
      </c>
      <c r="B44" s="411" t="s">
        <v>118</v>
      </c>
      <c r="C44" s="235">
        <v>1.85</v>
      </c>
      <c r="D44" s="91">
        <v>2.7</v>
      </c>
      <c r="E44" s="91">
        <f>0.9*2.1</f>
        <v>1.8900000000000001</v>
      </c>
      <c r="F44" s="79">
        <f t="shared" ref="F44:F47" si="13">ROUND((C44*D44)-E44,2)</f>
        <v>3.11</v>
      </c>
      <c r="G44" s="200"/>
      <c r="H44" s="103"/>
      <c r="I44" s="103"/>
      <c r="J44" s="218"/>
      <c r="K44" s="186"/>
      <c r="L44" s="77">
        <f>(C44*1.5)-(0.9*1.5)</f>
        <v>1.4250000000000003</v>
      </c>
      <c r="M44" s="91">
        <f>F44-L44</f>
        <v>1.6849999999999996</v>
      </c>
      <c r="N44" s="92">
        <f t="shared" si="12"/>
        <v>1.6849999999999996</v>
      </c>
      <c r="O44" s="228">
        <v>2.83</v>
      </c>
      <c r="P44" s="228">
        <f>O44</f>
        <v>2.83</v>
      </c>
      <c r="Q44" s="248">
        <f>O44</f>
        <v>2.83</v>
      </c>
      <c r="S44" s="4" t="e">
        <f>IF(#REF!=L44,"OK","ERRO")</f>
        <v>#REF!</v>
      </c>
      <c r="T44" s="9" t="e">
        <f>IF(N44=M44+#REF!,"OK","ERRO")</f>
        <v>#REF!</v>
      </c>
      <c r="U44" s="20" t="e">
        <f>IF(#REF!=(P44+O44),"OK","ERRO")</f>
        <v>#REF!</v>
      </c>
    </row>
    <row r="45" spans="1:21" ht="23.25" x14ac:dyDescent="0.3">
      <c r="A45" s="414"/>
      <c r="B45" s="412"/>
      <c r="C45" s="80">
        <v>1.57</v>
      </c>
      <c r="D45" s="81">
        <v>2.7</v>
      </c>
      <c r="E45" s="81"/>
      <c r="F45" s="83">
        <f t="shared" si="13"/>
        <v>4.24</v>
      </c>
      <c r="G45" s="189"/>
      <c r="H45" s="82"/>
      <c r="I45" s="136"/>
      <c r="J45" s="219"/>
      <c r="K45" s="186"/>
      <c r="L45" s="80">
        <f>C45*1.5</f>
        <v>2.355</v>
      </c>
      <c r="M45" s="81">
        <f>F45-L45</f>
        <v>1.8850000000000002</v>
      </c>
      <c r="N45" s="83">
        <f t="shared" si="12"/>
        <v>1.8850000000000002</v>
      </c>
      <c r="O45" s="230"/>
      <c r="P45" s="230"/>
      <c r="Q45" s="249"/>
      <c r="S45" s="4" t="e">
        <f>IF(#REF!=L45,"OK","ERRO")</f>
        <v>#REF!</v>
      </c>
      <c r="T45" s="9" t="e">
        <f>IF(N45=M45+#REF!,"OK","ERRO")</f>
        <v>#REF!</v>
      </c>
      <c r="U45" s="20" t="e">
        <f>IF(#REF!=(P45+O45),"OK","ERRO")</f>
        <v>#REF!</v>
      </c>
    </row>
    <row r="46" spans="1:21" ht="23.25" x14ac:dyDescent="0.3">
      <c r="A46" s="414"/>
      <c r="B46" s="412"/>
      <c r="C46" s="225">
        <v>1.85</v>
      </c>
      <c r="D46" s="81">
        <v>2.7</v>
      </c>
      <c r="E46" s="81">
        <f>1*0.5</f>
        <v>0.5</v>
      </c>
      <c r="F46" s="83">
        <f t="shared" si="13"/>
        <v>4.5</v>
      </c>
      <c r="G46" s="189"/>
      <c r="H46" s="82"/>
      <c r="I46" s="136"/>
      <c r="J46" s="219"/>
      <c r="K46" s="186"/>
      <c r="L46" s="80">
        <f>C46*1.5</f>
        <v>2.7750000000000004</v>
      </c>
      <c r="M46" s="81">
        <f>F46-L46</f>
        <v>1.7249999999999996</v>
      </c>
      <c r="N46" s="83">
        <f t="shared" si="12"/>
        <v>1.7249999999999996</v>
      </c>
      <c r="O46" s="230"/>
      <c r="P46" s="230"/>
      <c r="Q46" s="249"/>
      <c r="S46" s="4" t="e">
        <f>IF(#REF!=L46,"OK","ERRO")</f>
        <v>#REF!</v>
      </c>
      <c r="T46" s="9" t="e">
        <f>IF(N46=M46+#REF!,"OK","ERRO")</f>
        <v>#REF!</v>
      </c>
      <c r="U46" s="20" t="e">
        <f>IF(#REF!=(P46+O46),"OK","ERRO")</f>
        <v>#REF!</v>
      </c>
    </row>
    <row r="47" spans="1:21" ht="24" thickBot="1" x14ac:dyDescent="0.35">
      <c r="A47" s="414"/>
      <c r="B47" s="412"/>
      <c r="C47" s="236">
        <v>1.57</v>
      </c>
      <c r="D47" s="89">
        <v>2.7</v>
      </c>
      <c r="E47" s="89"/>
      <c r="F47" s="87">
        <f t="shared" si="13"/>
        <v>4.24</v>
      </c>
      <c r="G47" s="195"/>
      <c r="H47" s="104"/>
      <c r="I47" s="137"/>
      <c r="J47" s="220"/>
      <c r="K47" s="186"/>
      <c r="L47" s="85">
        <f>C47*1.5</f>
        <v>2.355</v>
      </c>
      <c r="M47" s="81">
        <f>F47-L47</f>
        <v>1.8850000000000002</v>
      </c>
      <c r="N47" s="83">
        <f t="shared" si="12"/>
        <v>1.8850000000000002</v>
      </c>
      <c r="O47" s="230"/>
      <c r="P47" s="230"/>
      <c r="Q47" s="249"/>
      <c r="S47" s="4" t="e">
        <f>IF(#REF!=L47,"OK","ERRO")</f>
        <v>#REF!</v>
      </c>
      <c r="T47" s="9" t="e">
        <f>IF(N47=M47+#REF!,"OK","ERRO")</f>
        <v>#REF!</v>
      </c>
      <c r="U47" s="20" t="e">
        <f>IF(#REF!=(P47+O47),"OK","ERRO")</f>
        <v>#REF!</v>
      </c>
    </row>
    <row r="48" spans="1:21" ht="23.25" x14ac:dyDescent="0.3">
      <c r="A48" s="413">
        <v>10</v>
      </c>
      <c r="B48" s="411" t="s">
        <v>119</v>
      </c>
      <c r="C48" s="224">
        <v>2.2200000000000002</v>
      </c>
      <c r="D48" s="78">
        <v>2.7</v>
      </c>
      <c r="E48" s="78">
        <f>1*0.5</f>
        <v>0.5</v>
      </c>
      <c r="F48" s="79">
        <f t="shared" ref="F48" si="14">ROUND((C48*D48)-E48,2)</f>
        <v>5.49</v>
      </c>
      <c r="G48" s="77"/>
      <c r="H48" s="78"/>
      <c r="I48" s="228"/>
      <c r="J48" s="229"/>
      <c r="K48" s="186"/>
      <c r="L48" s="77">
        <f>C48*1.5</f>
        <v>3.33</v>
      </c>
      <c r="M48" s="78">
        <f>F48-L48</f>
        <v>2.16</v>
      </c>
      <c r="N48" s="79">
        <f t="shared" si="12"/>
        <v>2.16</v>
      </c>
      <c r="O48" s="78">
        <v>4.26</v>
      </c>
      <c r="P48" s="78">
        <f>O48</f>
        <v>4.26</v>
      </c>
      <c r="Q48" s="79">
        <f>O48</f>
        <v>4.26</v>
      </c>
      <c r="S48" s="4" t="e">
        <f>IF(#REF!=L48,"OK","ERRO")</f>
        <v>#REF!</v>
      </c>
      <c r="T48" s="9" t="e">
        <f>IF(N48=M48+#REF!,"OK","ERRO")</f>
        <v>#REF!</v>
      </c>
      <c r="U48" s="20" t="e">
        <f>IF(#REF!=(P48+O48),"OK","ERRO")</f>
        <v>#REF!</v>
      </c>
    </row>
    <row r="49" spans="1:21" ht="23.25" x14ac:dyDescent="0.3">
      <c r="A49" s="414"/>
      <c r="B49" s="412"/>
      <c r="C49" s="225"/>
      <c r="D49" s="230"/>
      <c r="E49" s="81"/>
      <c r="F49" s="83"/>
      <c r="G49" s="80">
        <v>1.92</v>
      </c>
      <c r="H49" s="81">
        <v>2.7</v>
      </c>
      <c r="I49" s="230"/>
      <c r="J49" s="83">
        <f t="shared" ref="J49:J51" si="15">ROUND((G49*H49)-I49,2)</f>
        <v>5.18</v>
      </c>
      <c r="K49" s="186"/>
      <c r="L49" s="80">
        <f>G49*1.5</f>
        <v>2.88</v>
      </c>
      <c r="M49" s="81">
        <f>J49-L49</f>
        <v>2.2999999999999998</v>
      </c>
      <c r="N49" s="83">
        <f t="shared" si="12"/>
        <v>2.2999999999999998</v>
      </c>
      <c r="O49" s="81"/>
      <c r="P49" s="81"/>
      <c r="Q49" s="83"/>
      <c r="S49" s="4" t="e">
        <f>IF(#REF!=L49,"OK","ERRO")</f>
        <v>#REF!</v>
      </c>
      <c r="T49" s="9" t="e">
        <f>IF(N49=M49+#REF!,"OK","ERRO")</f>
        <v>#REF!</v>
      </c>
      <c r="U49" s="20" t="e">
        <f>IF(#REF!=(P49+O49),"OK","ERRO")</f>
        <v>#REF!</v>
      </c>
    </row>
    <row r="50" spans="1:21" ht="23.25" x14ac:dyDescent="0.3">
      <c r="A50" s="414"/>
      <c r="B50" s="412"/>
      <c r="C50" s="80"/>
      <c r="D50" s="231"/>
      <c r="E50" s="81"/>
      <c r="F50" s="83"/>
      <c r="G50" s="225">
        <v>2.2200000000000002</v>
      </c>
      <c r="H50" s="81">
        <v>2.7</v>
      </c>
      <c r="I50" s="230">
        <f>0.9*2.1</f>
        <v>1.8900000000000001</v>
      </c>
      <c r="J50" s="83">
        <f t="shared" si="15"/>
        <v>4.0999999999999996</v>
      </c>
      <c r="K50" s="186"/>
      <c r="L50" s="80">
        <f>(G50*1.5)-(0.9*1.5)</f>
        <v>1.98</v>
      </c>
      <c r="M50" s="81">
        <f>J50-L50</f>
        <v>2.1199999999999997</v>
      </c>
      <c r="N50" s="83">
        <f t="shared" si="12"/>
        <v>2.1199999999999997</v>
      </c>
      <c r="O50" s="81"/>
      <c r="P50" s="81"/>
      <c r="Q50" s="83"/>
      <c r="S50" s="4" t="e">
        <f>IF(#REF!=L50,"OK","ERRO")</f>
        <v>#REF!</v>
      </c>
      <c r="T50" s="9" t="e">
        <f>IF(N50=M50+#REF!,"OK","ERRO")</f>
        <v>#REF!</v>
      </c>
      <c r="U50" s="20" t="e">
        <f>IF(#REF!=(P50+O50),"OK","ERRO")</f>
        <v>#REF!</v>
      </c>
    </row>
    <row r="51" spans="1:21" ht="24" thickBot="1" x14ac:dyDescent="0.35">
      <c r="A51" s="415"/>
      <c r="B51" s="416"/>
      <c r="C51" s="226"/>
      <c r="D51" s="232"/>
      <c r="E51" s="86"/>
      <c r="F51" s="87"/>
      <c r="G51" s="226">
        <v>1.92</v>
      </c>
      <c r="H51" s="89">
        <v>2.7</v>
      </c>
      <c r="I51" s="233"/>
      <c r="J51" s="83">
        <f t="shared" si="15"/>
        <v>5.18</v>
      </c>
      <c r="K51" s="186"/>
      <c r="L51" s="85">
        <f>G51*1.5</f>
        <v>2.88</v>
      </c>
      <c r="M51" s="86">
        <f>J51-L51</f>
        <v>2.2999999999999998</v>
      </c>
      <c r="N51" s="87">
        <f t="shared" si="12"/>
        <v>2.2999999999999998</v>
      </c>
      <c r="O51" s="86"/>
      <c r="P51" s="86"/>
      <c r="Q51" s="87"/>
      <c r="S51" s="4" t="e">
        <f>IF(#REF!=L51,"OK","ERRO")</f>
        <v>#REF!</v>
      </c>
      <c r="T51" s="9" t="e">
        <f>IF(N51=M51+#REF!,"OK","ERRO")</f>
        <v>#REF!</v>
      </c>
      <c r="U51" s="20" t="e">
        <f>IF(#REF!=(P51+O51),"OK","ERRO")</f>
        <v>#REF!</v>
      </c>
    </row>
    <row r="52" spans="1:21" ht="23.25" x14ac:dyDescent="0.3">
      <c r="A52" s="413">
        <v>11</v>
      </c>
      <c r="B52" s="411" t="s">
        <v>120</v>
      </c>
      <c r="C52" s="77">
        <v>3.2</v>
      </c>
      <c r="D52" s="78">
        <v>2.7</v>
      </c>
      <c r="E52" s="78">
        <f>1.6*1</f>
        <v>1.6</v>
      </c>
      <c r="F52" s="79">
        <f t="shared" ref="F52:F53" si="16">ROUND((C52*D52)-E52,2)</f>
        <v>7.04</v>
      </c>
      <c r="G52" s="198"/>
      <c r="H52" s="84"/>
      <c r="I52" s="187"/>
      <c r="J52" s="427"/>
      <c r="K52" s="186"/>
      <c r="L52" s="77">
        <f>(C52*0.6)-(1.6*0.6)</f>
        <v>0.96</v>
      </c>
      <c r="M52" s="78">
        <f>F52-L52</f>
        <v>6.08</v>
      </c>
      <c r="N52" s="79">
        <f t="shared" si="12"/>
        <v>6.08</v>
      </c>
      <c r="O52" s="228">
        <v>6.14</v>
      </c>
      <c r="P52" s="228">
        <f>O52</f>
        <v>6.14</v>
      </c>
      <c r="Q52" s="248">
        <f>O52</f>
        <v>6.14</v>
      </c>
      <c r="S52" s="4" t="e">
        <f>IF(#REF!=L52,"OK","ERRO")</f>
        <v>#REF!</v>
      </c>
      <c r="T52" s="9" t="e">
        <f>IF(N52=M52+#REF!,"OK","ERRO")</f>
        <v>#REF!</v>
      </c>
      <c r="U52" s="20" t="e">
        <f>IF(#REF!=(P52+O52),"OK","ERRO")</f>
        <v>#REF!</v>
      </c>
    </row>
    <row r="53" spans="1:21" ht="23.25" x14ac:dyDescent="0.3">
      <c r="A53" s="414"/>
      <c r="B53" s="412"/>
      <c r="C53" s="80">
        <v>1.91</v>
      </c>
      <c r="D53" s="81">
        <v>2.7</v>
      </c>
      <c r="E53" s="82"/>
      <c r="F53" s="83">
        <f t="shared" si="16"/>
        <v>5.16</v>
      </c>
      <c r="G53" s="191"/>
      <c r="H53" s="82"/>
      <c r="I53" s="136"/>
      <c r="J53" s="190"/>
      <c r="K53" s="186"/>
      <c r="L53" s="80">
        <f>0.6*0.6</f>
        <v>0.36</v>
      </c>
      <c r="M53" s="81">
        <f>F53-L53</f>
        <v>4.8</v>
      </c>
      <c r="N53" s="83">
        <f t="shared" si="12"/>
        <v>4.8</v>
      </c>
      <c r="O53" s="230"/>
      <c r="P53" s="230"/>
      <c r="Q53" s="249"/>
      <c r="S53" s="4" t="e">
        <f>IF(#REF!=L53,"OK","ERRO")</f>
        <v>#REF!</v>
      </c>
      <c r="T53" s="9" t="e">
        <f>IF(N53=M53+#REF!,"OK","ERRO")</f>
        <v>#REF!</v>
      </c>
      <c r="U53" s="20" t="e">
        <f>IF(#REF!=(P53+O53),"OK","ERRO")</f>
        <v>#REF!</v>
      </c>
    </row>
    <row r="54" spans="1:21" ht="23.25" x14ac:dyDescent="0.3">
      <c r="A54" s="414"/>
      <c r="B54" s="412"/>
      <c r="C54" s="191"/>
      <c r="D54" s="212"/>
      <c r="E54" s="82"/>
      <c r="F54" s="146"/>
      <c r="G54" s="80">
        <v>3.2</v>
      </c>
      <c r="H54" s="81">
        <v>2.7</v>
      </c>
      <c r="I54" s="230">
        <f>0.9*2.1</f>
        <v>1.8900000000000001</v>
      </c>
      <c r="J54" s="83">
        <f t="shared" ref="J54" si="17">ROUND((G54*H54)-I54,2)</f>
        <v>6.75</v>
      </c>
      <c r="K54" s="186"/>
      <c r="L54" s="80"/>
      <c r="M54" s="81">
        <f>J54</f>
        <v>6.75</v>
      </c>
      <c r="N54" s="83">
        <f>J54</f>
        <v>6.75</v>
      </c>
      <c r="O54" s="230"/>
      <c r="P54" s="230"/>
      <c r="Q54" s="249"/>
      <c r="S54" s="4" t="e">
        <f>IF(#REF!=L54,"OK","ERRO")</f>
        <v>#REF!</v>
      </c>
      <c r="T54" s="9" t="e">
        <f>IF(N54=M54+#REF!,"OK","ERRO")</f>
        <v>#REF!</v>
      </c>
      <c r="U54" s="20" t="e">
        <f>IF(#REF!=(P54+O54),"OK","ERRO")</f>
        <v>#REF!</v>
      </c>
    </row>
    <row r="55" spans="1:21" ht="38.25" thickBot="1" x14ac:dyDescent="0.35">
      <c r="A55" s="415"/>
      <c r="B55" s="416"/>
      <c r="C55" s="193"/>
      <c r="D55" s="213"/>
      <c r="E55" s="94"/>
      <c r="F55" s="214"/>
      <c r="G55" s="85">
        <v>1.92</v>
      </c>
      <c r="H55" s="86">
        <v>2.7</v>
      </c>
      <c r="I55" s="233"/>
      <c r="J55" s="256" t="s">
        <v>155</v>
      </c>
      <c r="K55" s="186"/>
      <c r="L55" s="85">
        <f>0.6*0.6</f>
        <v>0.36</v>
      </c>
      <c r="M55" s="86">
        <f>(G55*H55)-L55</f>
        <v>4.8239999999999998</v>
      </c>
      <c r="N55" s="87">
        <f>M55</f>
        <v>4.8239999999999998</v>
      </c>
      <c r="O55" s="233"/>
      <c r="P55" s="233"/>
      <c r="Q55" s="250"/>
      <c r="S55" s="4" t="e">
        <f>IF(#REF!=L55,"OK","ERRO")</f>
        <v>#REF!</v>
      </c>
      <c r="T55" s="9" t="e">
        <f>IF(N55=M55+#REF!,"OK","ERRO")</f>
        <v>#REF!</v>
      </c>
      <c r="U55" s="20" t="e">
        <f>IF(#REF!=(P55+O55),"OK","ERRO")</f>
        <v>#REF!</v>
      </c>
    </row>
    <row r="56" spans="1:21" ht="23.25" x14ac:dyDescent="0.3">
      <c r="A56" s="413">
        <v>12</v>
      </c>
      <c r="B56" s="411" t="s">
        <v>121</v>
      </c>
      <c r="C56" s="224">
        <v>4.33</v>
      </c>
      <c r="D56" s="78">
        <v>2.7</v>
      </c>
      <c r="E56" s="78">
        <f>1.6*1</f>
        <v>1.6</v>
      </c>
      <c r="F56" s="79">
        <f t="shared" ref="F56:F65" si="18">ROUND((C56*D56)-E56,2)</f>
        <v>10.09</v>
      </c>
      <c r="G56" s="224"/>
      <c r="H56" s="78"/>
      <c r="I56" s="78"/>
      <c r="J56" s="229"/>
      <c r="K56" s="240"/>
      <c r="L56" s="90">
        <f>0.6*0.6</f>
        <v>0.36</v>
      </c>
      <c r="M56" s="91">
        <f>F56-L56</f>
        <v>9.73</v>
      </c>
      <c r="N56" s="92">
        <f>M56</f>
        <v>9.73</v>
      </c>
      <c r="O56" s="228">
        <v>8.5399999999999991</v>
      </c>
      <c r="P56" s="228">
        <f>O56</f>
        <v>8.5399999999999991</v>
      </c>
      <c r="Q56" s="248">
        <f>O56</f>
        <v>8.5399999999999991</v>
      </c>
      <c r="S56" s="4" t="e">
        <f>IF(#REF!=L56,"OK","ERRO")</f>
        <v>#REF!</v>
      </c>
      <c r="T56" s="9" t="e">
        <f>IF(N56=M56+#REF!,"OK","ERRO")</f>
        <v>#REF!</v>
      </c>
      <c r="U56" s="20" t="e">
        <f>IF(#REF!=(P56+O56),"OK","ERRO")</f>
        <v>#REF!</v>
      </c>
    </row>
    <row r="57" spans="1:21" ht="23.25" x14ac:dyDescent="0.3">
      <c r="A57" s="414"/>
      <c r="B57" s="412"/>
      <c r="C57" s="225">
        <v>2.02</v>
      </c>
      <c r="D57" s="81">
        <v>2.7</v>
      </c>
      <c r="E57" s="81"/>
      <c r="F57" s="83">
        <f t="shared" si="18"/>
        <v>5.45</v>
      </c>
      <c r="G57" s="225"/>
      <c r="H57" s="81"/>
      <c r="I57" s="81"/>
      <c r="J57" s="239"/>
      <c r="K57" s="240"/>
      <c r="L57" s="80"/>
      <c r="M57" s="81">
        <f>F57</f>
        <v>5.45</v>
      </c>
      <c r="N57" s="83">
        <f>M57</f>
        <v>5.45</v>
      </c>
      <c r="O57" s="230"/>
      <c r="P57" s="230"/>
      <c r="Q57" s="249"/>
      <c r="S57" s="4" t="e">
        <f>IF(#REF!=L57,"OK","ERRO")</f>
        <v>#REF!</v>
      </c>
      <c r="T57" s="9" t="e">
        <f>IF(N57=M57+#REF!,"OK","ERRO")</f>
        <v>#REF!</v>
      </c>
      <c r="U57" s="20" t="e">
        <f>IF(#REF!=(P57+O57),"OK","ERRO")</f>
        <v>#REF!</v>
      </c>
    </row>
    <row r="58" spans="1:21" ht="23.25" x14ac:dyDescent="0.3">
      <c r="A58" s="414"/>
      <c r="B58" s="412"/>
      <c r="C58" s="225">
        <v>2.02</v>
      </c>
      <c r="D58" s="81">
        <v>2.7</v>
      </c>
      <c r="E58" s="81"/>
      <c r="F58" s="83">
        <f t="shared" si="18"/>
        <v>5.45</v>
      </c>
      <c r="G58" s="225"/>
      <c r="H58" s="81"/>
      <c r="I58" s="81"/>
      <c r="J58" s="239"/>
      <c r="K58" s="240"/>
      <c r="L58" s="80">
        <f>C58*0.6</f>
        <v>1.212</v>
      </c>
      <c r="M58" s="81">
        <f>F58-L58</f>
        <v>4.2380000000000004</v>
      </c>
      <c r="N58" s="83">
        <f>M58</f>
        <v>4.2380000000000004</v>
      </c>
      <c r="O58" s="230"/>
      <c r="P58" s="230"/>
      <c r="Q58" s="249"/>
      <c r="S58" s="4" t="e">
        <f>IF(#REF!=L58,"OK","ERRO")</f>
        <v>#REF!</v>
      </c>
      <c r="T58" s="9" t="e">
        <f>IF(N58=M58+#REF!,"OK","ERRO")</f>
        <v>#REF!</v>
      </c>
      <c r="U58" s="20" t="e">
        <f>IF(#REF!=(P58+O58),"OK","ERRO")</f>
        <v>#REF!</v>
      </c>
    </row>
    <row r="59" spans="1:21" ht="23.25" x14ac:dyDescent="0.3">
      <c r="A59" s="414"/>
      <c r="B59" s="412"/>
      <c r="C59" s="195"/>
      <c r="D59" s="234"/>
      <c r="E59" s="104"/>
      <c r="F59" s="138"/>
      <c r="G59" s="236">
        <v>0.61</v>
      </c>
      <c r="H59" s="81">
        <v>2.7</v>
      </c>
      <c r="I59" s="230"/>
      <c r="J59" s="83">
        <f t="shared" ref="J59" si="19">ROUND((G59*H59)-I59,2)</f>
        <v>1.65</v>
      </c>
      <c r="K59" s="186"/>
      <c r="L59" s="196"/>
      <c r="M59" s="89">
        <f>J59</f>
        <v>1.65</v>
      </c>
      <c r="N59" s="93">
        <f>J59</f>
        <v>1.65</v>
      </c>
      <c r="O59" s="254"/>
      <c r="P59" s="254"/>
      <c r="Q59" s="255"/>
      <c r="T59" s="9" t="e">
        <f>IF(N59=M59+#REF!,"OK","ERRO")</f>
        <v>#REF!</v>
      </c>
      <c r="U59" s="20"/>
    </row>
    <row r="60" spans="1:21" ht="24" thickBot="1" x14ac:dyDescent="0.35">
      <c r="A60" s="414"/>
      <c r="B60" s="412"/>
      <c r="C60" s="88">
        <v>1.5</v>
      </c>
      <c r="D60" s="89">
        <v>0.9</v>
      </c>
      <c r="E60" s="89"/>
      <c r="F60" s="93">
        <f t="shared" si="18"/>
        <v>1.35</v>
      </c>
      <c r="G60" s="195"/>
      <c r="H60" s="104"/>
      <c r="I60" s="104"/>
      <c r="J60" s="429"/>
      <c r="K60" s="186"/>
      <c r="L60" s="196"/>
      <c r="M60" s="89">
        <f>F60</f>
        <v>1.35</v>
      </c>
      <c r="N60" s="93">
        <f t="shared" ref="N60:N68" si="20">M60</f>
        <v>1.35</v>
      </c>
      <c r="O60" s="254"/>
      <c r="P60" s="254"/>
      <c r="Q60" s="255"/>
      <c r="S60" s="4" t="e">
        <f>IF(#REF!=L60,"OK","ERRO")</f>
        <v>#REF!</v>
      </c>
      <c r="T60" s="9" t="e">
        <f>IF(N60=M60+#REF!,"OK","ERRO")</f>
        <v>#REF!</v>
      </c>
      <c r="U60" s="20" t="e">
        <f>IF(#REF!=(P60+O60),"OK","ERRO")</f>
        <v>#REF!</v>
      </c>
    </row>
    <row r="61" spans="1:21" ht="23.25" x14ac:dyDescent="0.3">
      <c r="A61" s="413">
        <v>13</v>
      </c>
      <c r="B61" s="411" t="s">
        <v>122</v>
      </c>
      <c r="C61" s="224">
        <v>2.02</v>
      </c>
      <c r="D61" s="78">
        <v>2.7</v>
      </c>
      <c r="E61" s="78"/>
      <c r="F61" s="79">
        <f t="shared" si="18"/>
        <v>5.45</v>
      </c>
      <c r="G61" s="224"/>
      <c r="H61" s="78"/>
      <c r="I61" s="78"/>
      <c r="J61" s="229"/>
      <c r="K61" s="240"/>
      <c r="L61" s="77"/>
      <c r="M61" s="78">
        <f>F61</f>
        <v>5.45</v>
      </c>
      <c r="N61" s="79">
        <f t="shared" si="20"/>
        <v>5.45</v>
      </c>
      <c r="O61" s="228">
        <v>5.35</v>
      </c>
      <c r="P61" s="228">
        <f>O61</f>
        <v>5.35</v>
      </c>
      <c r="Q61" s="248">
        <f>O61</f>
        <v>5.35</v>
      </c>
      <c r="S61" s="4" t="e">
        <f>IF(#REF!=L61,"OK","ERRO")</f>
        <v>#REF!</v>
      </c>
      <c r="T61" s="9" t="e">
        <f>IF(N61=M61+#REF!,"OK","ERRO")</f>
        <v>#REF!</v>
      </c>
      <c r="U61" s="20" t="e">
        <f>IF(#REF!=(P61+O61),"OK","ERRO")</f>
        <v>#REF!</v>
      </c>
    </row>
    <row r="62" spans="1:21" ht="23.25" x14ac:dyDescent="0.3">
      <c r="A62" s="414"/>
      <c r="B62" s="412"/>
      <c r="C62" s="225">
        <v>2.65</v>
      </c>
      <c r="D62" s="81">
        <v>2.7</v>
      </c>
      <c r="E62" s="81"/>
      <c r="F62" s="83">
        <f t="shared" si="18"/>
        <v>7.16</v>
      </c>
      <c r="G62" s="225"/>
      <c r="H62" s="81"/>
      <c r="I62" s="81"/>
      <c r="J62" s="239"/>
      <c r="K62" s="240"/>
      <c r="L62" s="80"/>
      <c r="M62" s="81">
        <f>F62</f>
        <v>7.16</v>
      </c>
      <c r="N62" s="83">
        <f t="shared" si="20"/>
        <v>7.16</v>
      </c>
      <c r="O62" s="230"/>
      <c r="P62" s="230"/>
      <c r="Q62" s="249"/>
      <c r="T62" s="9" t="e">
        <f>IF(N62=M62+#REF!,"OK","ERRO")</f>
        <v>#REF!</v>
      </c>
      <c r="U62" s="20"/>
    </row>
    <row r="63" spans="1:21" ht="24" thickBot="1" x14ac:dyDescent="0.35">
      <c r="A63" s="415"/>
      <c r="B63" s="416"/>
      <c r="C63" s="226">
        <v>2.02</v>
      </c>
      <c r="D63" s="86">
        <v>2.7</v>
      </c>
      <c r="E63" s="86">
        <f>1*2.1</f>
        <v>2.1</v>
      </c>
      <c r="F63" s="87">
        <f t="shared" si="18"/>
        <v>3.35</v>
      </c>
      <c r="G63" s="226"/>
      <c r="H63" s="86"/>
      <c r="I63" s="86"/>
      <c r="J63" s="294"/>
      <c r="K63" s="240"/>
      <c r="L63" s="85"/>
      <c r="M63" s="86">
        <f>F63</f>
        <v>3.35</v>
      </c>
      <c r="N63" s="87">
        <f t="shared" si="20"/>
        <v>3.35</v>
      </c>
      <c r="O63" s="233"/>
      <c r="P63" s="233"/>
      <c r="Q63" s="250"/>
      <c r="T63" s="9" t="e">
        <f>IF(N63=M63+#REF!,"OK","ERRO")</f>
        <v>#REF!</v>
      </c>
      <c r="U63" s="20"/>
    </row>
    <row r="64" spans="1:21" ht="56.25" x14ac:dyDescent="0.3">
      <c r="A64" s="413">
        <v>14</v>
      </c>
      <c r="B64" s="411" t="s">
        <v>123</v>
      </c>
      <c r="C64" s="224"/>
      <c r="D64" s="78"/>
      <c r="E64" s="78"/>
      <c r="F64" s="79"/>
      <c r="G64" s="258">
        <v>5.43</v>
      </c>
      <c r="H64" s="259">
        <v>2.7</v>
      </c>
      <c r="I64" s="259">
        <f>0.9*2.1*2</f>
        <v>3.7800000000000002</v>
      </c>
      <c r="J64" s="260" t="s">
        <v>158</v>
      </c>
      <c r="K64" s="186"/>
      <c r="L64" s="77"/>
      <c r="M64" s="78">
        <f>(G64*H64)-I64</f>
        <v>10.881</v>
      </c>
      <c r="N64" s="79">
        <f t="shared" si="20"/>
        <v>10.881</v>
      </c>
      <c r="O64" s="267">
        <v>23.9</v>
      </c>
      <c r="P64" s="78">
        <f>O64</f>
        <v>23.9</v>
      </c>
      <c r="Q64" s="79">
        <f>O64</f>
        <v>23.9</v>
      </c>
      <c r="T64" s="9" t="e">
        <f>IF(N64=M64+#REF!,"OK","ERRO")</f>
        <v>#REF!</v>
      </c>
      <c r="U64" s="20"/>
    </row>
    <row r="65" spans="1:21" ht="23.25" x14ac:dyDescent="0.3">
      <c r="A65" s="414"/>
      <c r="B65" s="412"/>
      <c r="C65" s="80">
        <v>1.5</v>
      </c>
      <c r="D65" s="81">
        <v>0.9</v>
      </c>
      <c r="E65" s="81"/>
      <c r="F65" s="83">
        <f t="shared" si="18"/>
        <v>1.35</v>
      </c>
      <c r="G65" s="261"/>
      <c r="H65" s="262"/>
      <c r="I65" s="262"/>
      <c r="J65" s="257"/>
      <c r="K65" s="186"/>
      <c r="L65" s="80"/>
      <c r="M65" s="81">
        <f>F65</f>
        <v>1.35</v>
      </c>
      <c r="N65" s="83">
        <f t="shared" si="20"/>
        <v>1.35</v>
      </c>
      <c r="O65" s="268"/>
      <c r="P65" s="81"/>
      <c r="Q65" s="83"/>
      <c r="T65" s="9" t="e">
        <f>IF(N65=M65+#REF!,"OK","ERRO")</f>
        <v>#REF!</v>
      </c>
      <c r="U65" s="20"/>
    </row>
    <row r="66" spans="1:21" ht="56.25" x14ac:dyDescent="0.3">
      <c r="A66" s="414"/>
      <c r="B66" s="412"/>
      <c r="C66" s="225"/>
      <c r="D66" s="81"/>
      <c r="E66" s="81"/>
      <c r="F66" s="83"/>
      <c r="G66" s="263">
        <v>2</v>
      </c>
      <c r="H66" s="262">
        <v>2.7</v>
      </c>
      <c r="I66" s="262">
        <f>1*2.1</f>
        <v>2.1</v>
      </c>
      <c r="J66" s="257" t="s">
        <v>158</v>
      </c>
      <c r="K66" s="186"/>
      <c r="L66" s="80"/>
      <c r="M66" s="81">
        <f>(G66*H66)-I66</f>
        <v>3.3000000000000003</v>
      </c>
      <c r="N66" s="83">
        <f t="shared" si="20"/>
        <v>3.3000000000000003</v>
      </c>
      <c r="O66" s="268"/>
      <c r="P66" s="81"/>
      <c r="Q66" s="83"/>
      <c r="T66" s="9" t="e">
        <f>IF(N66=M66+#REF!,"OK","ERRO")</f>
        <v>#REF!</v>
      </c>
      <c r="U66" s="20"/>
    </row>
    <row r="67" spans="1:21" ht="56.25" x14ac:dyDescent="0.3">
      <c r="A67" s="414"/>
      <c r="B67" s="412"/>
      <c r="C67" s="195"/>
      <c r="D67" s="234"/>
      <c r="E67" s="104"/>
      <c r="F67" s="138"/>
      <c r="G67" s="264">
        <v>11.95</v>
      </c>
      <c r="H67" s="262">
        <v>2.7</v>
      </c>
      <c r="I67" s="262">
        <f>(1*2.1*3)</f>
        <v>6.3000000000000007</v>
      </c>
      <c r="J67" s="257" t="s">
        <v>158</v>
      </c>
      <c r="K67" s="186"/>
      <c r="L67" s="196"/>
      <c r="M67" s="81">
        <f>(G67*H67)-I67</f>
        <v>25.965</v>
      </c>
      <c r="N67" s="83">
        <f t="shared" si="20"/>
        <v>25.965</v>
      </c>
      <c r="O67" s="269"/>
      <c r="P67" s="89"/>
      <c r="Q67" s="93"/>
      <c r="T67" s="9"/>
      <c r="U67" s="20"/>
    </row>
    <row r="68" spans="1:21" ht="24" thickBot="1" x14ac:dyDescent="0.35">
      <c r="A68" s="415"/>
      <c r="B68" s="416"/>
      <c r="C68" s="85">
        <v>2</v>
      </c>
      <c r="D68" s="86">
        <v>2.7</v>
      </c>
      <c r="E68" s="86">
        <f>1*2.1</f>
        <v>2.1</v>
      </c>
      <c r="F68" s="87">
        <f t="shared" ref="F68:F71" si="21">ROUND((C68*D68)-E68,2)</f>
        <v>3.3</v>
      </c>
      <c r="G68" s="265"/>
      <c r="H68" s="266"/>
      <c r="I68" s="266"/>
      <c r="J68" s="256"/>
      <c r="K68" s="186"/>
      <c r="L68" s="193"/>
      <c r="M68" s="86">
        <f>F68</f>
        <v>3.3</v>
      </c>
      <c r="N68" s="87">
        <f t="shared" si="20"/>
        <v>3.3</v>
      </c>
      <c r="O68" s="269"/>
      <c r="P68" s="89"/>
      <c r="Q68" s="93"/>
      <c r="T68" s="9"/>
      <c r="U68" s="20"/>
    </row>
    <row r="69" spans="1:21" ht="23.25" x14ac:dyDescent="0.3">
      <c r="A69" s="413">
        <v>14</v>
      </c>
      <c r="B69" s="411" t="s">
        <v>96</v>
      </c>
      <c r="C69" s="77">
        <v>16.25</v>
      </c>
      <c r="D69" s="78">
        <v>3.85</v>
      </c>
      <c r="E69" s="78">
        <f>(2*1)+(1*0.5)+(1.6*1*2)+(1.6*2.1)</f>
        <v>9.06</v>
      </c>
      <c r="F69" s="79">
        <f t="shared" si="21"/>
        <v>53.5</v>
      </c>
      <c r="G69" s="224"/>
      <c r="H69" s="78"/>
      <c r="I69" s="78"/>
      <c r="J69" s="229"/>
      <c r="K69" s="186"/>
      <c r="L69" s="77"/>
      <c r="M69" s="78"/>
      <c r="N69" s="79">
        <f>F69</f>
        <v>53.5</v>
      </c>
      <c r="O69" s="187"/>
      <c r="P69" s="187"/>
      <c r="Q69" s="188"/>
      <c r="S69" s="4" t="e">
        <f>IF(#REF!=L69,"OK","ERRO")</f>
        <v>#REF!</v>
      </c>
      <c r="T69" s="9" t="e">
        <f>IF(N69=M69+#REF!,"OK","ERRO")</f>
        <v>#REF!</v>
      </c>
      <c r="U69" s="20" t="e">
        <f>IF(#REF!=(P69+O69),"OK","ERRO")</f>
        <v>#REF!</v>
      </c>
    </row>
    <row r="70" spans="1:21" ht="23.25" x14ac:dyDescent="0.3">
      <c r="A70" s="414"/>
      <c r="B70" s="412"/>
      <c r="C70" s="225">
        <v>16.25</v>
      </c>
      <c r="D70" s="81">
        <v>3.85</v>
      </c>
      <c r="E70" s="81">
        <f>(2*1*3)+(1*0.5*2)</f>
        <v>7</v>
      </c>
      <c r="F70" s="83">
        <f t="shared" si="21"/>
        <v>55.56</v>
      </c>
      <c r="G70" s="225"/>
      <c r="H70" s="81"/>
      <c r="I70" s="81"/>
      <c r="J70" s="239"/>
      <c r="K70" s="186"/>
      <c r="L70" s="80"/>
      <c r="M70" s="81"/>
      <c r="N70" s="83">
        <f>F70</f>
        <v>55.56</v>
      </c>
      <c r="O70" s="136"/>
      <c r="P70" s="136"/>
      <c r="Q70" s="192"/>
      <c r="T70" s="9"/>
      <c r="U70" s="20"/>
    </row>
    <row r="71" spans="1:21" ht="24" thickBot="1" x14ac:dyDescent="0.35">
      <c r="A71" s="415"/>
      <c r="B71" s="416"/>
      <c r="C71" s="85">
        <v>8.9</v>
      </c>
      <c r="D71" s="86">
        <v>4.25</v>
      </c>
      <c r="E71" s="86">
        <f>1*0.5*2</f>
        <v>1</v>
      </c>
      <c r="F71" s="87">
        <f t="shared" si="21"/>
        <v>36.83</v>
      </c>
      <c r="G71" s="226"/>
      <c r="H71" s="86"/>
      <c r="I71" s="233"/>
      <c r="J71" s="87"/>
      <c r="K71" s="186"/>
      <c r="L71" s="193"/>
      <c r="M71" s="86"/>
      <c r="N71" s="87">
        <f>F71</f>
        <v>36.83</v>
      </c>
      <c r="O71" s="221"/>
      <c r="P71" s="221"/>
      <c r="Q71" s="222"/>
      <c r="S71" s="4" t="e">
        <f>IF(#REF!=L71,"OK","ERRO")</f>
        <v>#REF!</v>
      </c>
      <c r="T71" s="9" t="e">
        <f>IF(N71=M71+#REF!,"OK","ERRO")</f>
        <v>#REF!</v>
      </c>
      <c r="U71" s="20" t="e">
        <f>IF(#REF!=(P71+O71),"OK","ERRO")</f>
        <v>#REF!</v>
      </c>
    </row>
    <row r="72" spans="1:21" s="23" customFormat="1" ht="32.25" customHeight="1" thickBot="1" x14ac:dyDescent="0.45">
      <c r="A72" s="417" t="s">
        <v>43</v>
      </c>
      <c r="B72" s="418"/>
      <c r="C72" s="242" t="s">
        <v>45</v>
      </c>
      <c r="D72" s="243" t="s">
        <v>45</v>
      </c>
      <c r="E72" s="243" t="s">
        <v>45</v>
      </c>
      <c r="F72" s="244" t="s">
        <v>45</v>
      </c>
      <c r="G72" s="242" t="s">
        <v>45</v>
      </c>
      <c r="H72" s="243" t="s">
        <v>45</v>
      </c>
      <c r="I72" s="243" t="s">
        <v>45</v>
      </c>
      <c r="J72" s="245">
        <f>SUM(J7:J71)</f>
        <v>79.390000000000015</v>
      </c>
      <c r="K72" s="439"/>
      <c r="L72" s="246">
        <f t="shared" ref="L72:Q72" si="22">SUM(L7:L71)</f>
        <v>73.463999999999984</v>
      </c>
      <c r="M72" s="247">
        <f t="shared" si="22"/>
        <v>311.42800000000005</v>
      </c>
      <c r="N72" s="245">
        <f t="shared" si="22"/>
        <v>457.31800000000004</v>
      </c>
      <c r="O72" s="247">
        <f t="shared" si="22"/>
        <v>131.37</v>
      </c>
      <c r="P72" s="247">
        <f t="shared" si="22"/>
        <v>131.37</v>
      </c>
      <c r="Q72" s="245">
        <f t="shared" si="22"/>
        <v>131.37</v>
      </c>
      <c r="S72" s="24"/>
      <c r="T72" s="25"/>
    </row>
    <row r="73" spans="1:21" x14ac:dyDescent="0.25">
      <c r="K73" s="438"/>
    </row>
    <row r="74" spans="1:21" x14ac:dyDescent="0.25">
      <c r="K74" s="438"/>
    </row>
    <row r="75" spans="1:21" x14ac:dyDescent="0.25">
      <c r="B75" s="43"/>
      <c r="K75" s="438"/>
    </row>
    <row r="76" spans="1:21" x14ac:dyDescent="0.25">
      <c r="B76" s="43"/>
      <c r="K76" s="438"/>
    </row>
    <row r="77" spans="1:21" x14ac:dyDescent="0.25">
      <c r="B77" s="43"/>
      <c r="K77" s="438"/>
    </row>
    <row r="78" spans="1:21" x14ac:dyDescent="0.25">
      <c r="B78" s="43"/>
      <c r="K78" s="438"/>
    </row>
    <row r="79" spans="1:21" x14ac:dyDescent="0.25">
      <c r="B79" s="43"/>
      <c r="K79" s="438"/>
    </row>
    <row r="80" spans="1:21" ht="26.25" x14ac:dyDescent="0.4">
      <c r="A80" s="441" t="s">
        <v>220</v>
      </c>
      <c r="B80" s="441"/>
      <c r="C80" s="441"/>
      <c r="D80" s="441"/>
      <c r="E80" s="441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</row>
    <row r="81" spans="1:17" ht="26.25" x14ac:dyDescent="0.4">
      <c r="A81" s="441" t="s">
        <v>221</v>
      </c>
      <c r="B81" s="441"/>
      <c r="C81" s="441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</row>
    <row r="82" spans="1:17" ht="26.25" x14ac:dyDescent="0.4">
      <c r="A82" s="441" t="s">
        <v>222</v>
      </c>
      <c r="B82" s="441"/>
      <c r="C82" s="441"/>
      <c r="D82" s="441"/>
      <c r="E82" s="441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</row>
    <row r="83" spans="1:17" x14ac:dyDescent="0.25">
      <c r="K83" s="438"/>
    </row>
    <row r="84" spans="1:17" x14ac:dyDescent="0.25">
      <c r="K84" s="438"/>
    </row>
    <row r="85" spans="1:17" x14ac:dyDescent="0.25">
      <c r="K85" s="438"/>
    </row>
    <row r="86" spans="1:17" x14ac:dyDescent="0.25">
      <c r="K86" s="438"/>
    </row>
  </sheetData>
  <mergeCells count="43">
    <mergeCell ref="A80:Q80"/>
    <mergeCell ref="A81:Q81"/>
    <mergeCell ref="A82:Q82"/>
    <mergeCell ref="A72:B72"/>
    <mergeCell ref="A56:A60"/>
    <mergeCell ref="B56:B60"/>
    <mergeCell ref="B48:B51"/>
    <mergeCell ref="A48:A51"/>
    <mergeCell ref="A52:A55"/>
    <mergeCell ref="B52:B55"/>
    <mergeCell ref="B61:B63"/>
    <mergeCell ref="A61:A63"/>
    <mergeCell ref="A64:A68"/>
    <mergeCell ref="B64:B68"/>
    <mergeCell ref="A69:A71"/>
    <mergeCell ref="B69:B71"/>
    <mergeCell ref="A7:A10"/>
    <mergeCell ref="B25:B30"/>
    <mergeCell ref="A25:A30"/>
    <mergeCell ref="B21:B24"/>
    <mergeCell ref="A21:A24"/>
    <mergeCell ref="B17:B20"/>
    <mergeCell ref="B13:B16"/>
    <mergeCell ref="A13:A16"/>
    <mergeCell ref="B7:B12"/>
    <mergeCell ref="B44:B47"/>
    <mergeCell ref="A44:A47"/>
    <mergeCell ref="A17:A20"/>
    <mergeCell ref="B39:B43"/>
    <mergeCell ref="A39:A43"/>
    <mergeCell ref="B35:B38"/>
    <mergeCell ref="A35:A38"/>
    <mergeCell ref="B31:B34"/>
    <mergeCell ref="A31:A34"/>
    <mergeCell ref="O5:Q5"/>
    <mergeCell ref="L4:Q4"/>
    <mergeCell ref="A2:Q2"/>
    <mergeCell ref="C5:F5"/>
    <mergeCell ref="B5:B6"/>
    <mergeCell ref="L5:N5"/>
    <mergeCell ref="A5:A6"/>
    <mergeCell ref="G5:J5"/>
    <mergeCell ref="C4:J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fitToHeight="0" orientation="landscape" r:id="rId1"/>
  <headerFooter>
    <oddFooter>&amp;L&amp;16Memória de Cálculo&amp;C&amp;16Vedações e Revestimentos&amp;R&amp;16Página &amp;P de &amp;N</oddFooter>
  </headerFooter>
  <rowBreaks count="2" manualBreakCount="2">
    <brk id="30" max="16" man="1"/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PISO E RODAPÉ</vt:lpstr>
      <vt:lpstr>ESQUADRIAS</vt:lpstr>
      <vt:lpstr>LOUÇAS</vt:lpstr>
      <vt:lpstr>COBERTURA</vt:lpstr>
      <vt:lpstr>INSTALAÇÕES HIDRÁULICAS</vt:lpstr>
      <vt:lpstr>INSTALAÇÕES SANITÁRIAS</vt:lpstr>
      <vt:lpstr>INST. ELÉTRICA</vt:lpstr>
      <vt:lpstr>VEDAÇÃO E REVESTIMENTOS</vt:lpstr>
      <vt:lpstr>COBERTURA!Area_de_impressao</vt:lpstr>
      <vt:lpstr>ESQUADRIAS!Area_de_impressao</vt:lpstr>
      <vt:lpstr>'INST. ELÉTRICA'!Area_de_impressao</vt:lpstr>
      <vt:lpstr>'INSTALAÇÕES HIDRÁULICAS'!Area_de_impressao</vt:lpstr>
      <vt:lpstr>'INSTALAÇÕES SANITÁRIAS'!Area_de_impressao</vt:lpstr>
      <vt:lpstr>LOUÇAS!Area_de_impressao</vt:lpstr>
      <vt:lpstr>'PISO E RODAPÉ'!Area_de_impressao</vt:lpstr>
      <vt:lpstr>'VEDAÇÃO E REVESTIMENTOS'!Area_de_impressao</vt:lpstr>
      <vt:lpstr>ESQUADRIAS!Titulos_de_impressao</vt:lpstr>
      <vt:lpstr>LOUÇAS!Titulos_de_impressao</vt:lpstr>
      <vt:lpstr>'PISO E RODAPÉ'!Titulos_de_impressao</vt:lpstr>
      <vt:lpstr>'VEDAÇÃO E REVESTIMENTOS'!Titulos_de_impressao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Tamires Silva Rodrigues</dc:creator>
  <cp:lastModifiedBy>Tamires Silva Rodrigues</cp:lastModifiedBy>
  <cp:lastPrinted>2018-09-26T15:02:33Z</cp:lastPrinted>
  <dcterms:created xsi:type="dcterms:W3CDTF">2018-01-30T19:44:06Z</dcterms:created>
  <dcterms:modified xsi:type="dcterms:W3CDTF">2018-09-26T15:06:15Z</dcterms:modified>
</cp:coreProperties>
</file>