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610" yWindow="930" windowWidth="7755" windowHeight="5880" tabRatio="845" activeTab="0"/>
  </bookViews>
  <sheets>
    <sheet name="SERVIÇOS GERAIS" sheetId="1" r:id="rId1"/>
    <sheet name="PRONTO SOCORRO" sheetId="2" r:id="rId2"/>
    <sheet name="RAIO X" sheetId="3" r:id="rId3"/>
    <sheet name="NECROTÉRIO" sheetId="4" r:id="rId4"/>
    <sheet name="HIDRÁULICO" sheetId="5" r:id="rId5"/>
    <sheet name="LOUÇAS E BANC" sheetId="6" r:id="rId6"/>
    <sheet name="SANIT + PLUV" sheetId="7" r:id="rId7"/>
    <sheet name="ELÉTRICO" sheetId="8" r:id="rId8"/>
  </sheets>
  <definedNames>
    <definedName name="_xlnm.Print_Area" localSheetId="7">'ELÉTRICO'!$D$4:$R$75</definedName>
    <definedName name="_xlnm.Print_Area" localSheetId="4">'HIDRÁULICO'!$D$4:$M$66</definedName>
    <definedName name="_xlnm.Print_Area" localSheetId="5">'LOUÇAS E BANC'!$D$5:$H$34</definedName>
    <definedName name="_xlnm.Print_Area" localSheetId="3">'NECROTÉRIO'!$C$4:$R$69,'NECROTÉRIO'!$U$7:$AA$68,'NECROTÉRIO'!$AE$7:$AK$71,'NECROTÉRIO'!$AM$7:$AU$61</definedName>
    <definedName name="_xlnm.Print_Area" localSheetId="1">'PRONTO SOCORRO'!$C$4:$R$69,'PRONTO SOCORRO'!$U$7:$AA$69,'PRONTO SOCORRO'!$AE$7:$AK$72,'PRONTO SOCORRO'!$AN$7:$AV$67</definedName>
    <definedName name="_xlnm.Print_Area" localSheetId="2">'RAIO X'!$C$4:$R$69,'RAIO X'!$U$7:$AA$69,'RAIO X'!$AE$7:$AK$73,'RAIO X'!$AN$7:$AV$73</definedName>
    <definedName name="_xlnm.Print_Area" localSheetId="6">'SANIT + PLUV'!$D$4:$M$63</definedName>
    <definedName name="_xlnm.Print_Area" localSheetId="0">'SERVIÇOS GERAIS'!$C$4:$H$43</definedName>
    <definedName name="DadosExternos_1" localSheetId="4">'HIDRÁULICO'!$D$7:$G$40</definedName>
    <definedName name="DadosExternos_1" localSheetId="6">'SANIT + PLUV'!$D$7:$G$41</definedName>
    <definedName name="Materais_proj_ELÉTRICO_LOCAÇÃO_DO_QGBT" localSheetId="7">'ELÉTRICO'!#REF!</definedName>
    <definedName name="Materais_proj_ELÉTRICO_LOCAÇÃO_DO_QGBT_1" localSheetId="7">'ELÉTRICO'!#REF!</definedName>
    <definedName name="Materais_proj_ELÉTRICO_LOCAÇÃO_DO_QGBT_2" localSheetId="7">'ELÉTRICO'!$D$6:$R$65</definedName>
  </definedNames>
  <calcPr fullCalcOnLoad="1"/>
</workbook>
</file>

<file path=xl/sharedStrings.xml><?xml version="1.0" encoding="utf-8"?>
<sst xmlns="http://schemas.openxmlformats.org/spreadsheetml/2006/main" count="1800" uniqueCount="544">
  <si>
    <t>TOTAL</t>
  </si>
  <si>
    <t>P1</t>
  </si>
  <si>
    <t xml:space="preserve">PORTA </t>
  </si>
  <si>
    <t>LARG</t>
  </si>
  <si>
    <t>ÁREA</t>
  </si>
  <si>
    <t xml:space="preserve">JANELA </t>
  </si>
  <si>
    <t>QUANT</t>
  </si>
  <si>
    <t>AMBIENTE</t>
  </si>
  <si>
    <t>PERÍMETRO</t>
  </si>
  <si>
    <t>PISO                   M²</t>
  </si>
  <si>
    <t>L</t>
  </si>
  <si>
    <t>PI</t>
  </si>
  <si>
    <t>TIPO</t>
  </si>
  <si>
    <t>TANQUE</t>
  </si>
  <si>
    <t>COMP.</t>
  </si>
  <si>
    <t>DIAMETRO TUBO "MM"</t>
  </si>
  <si>
    <t>COMP. TUBO "M"</t>
  </si>
  <si>
    <t>LARGURA VALA "M"</t>
  </si>
  <si>
    <t>PROFUND. "M"</t>
  </si>
  <si>
    <t>VOL. ESCV. "M³"</t>
  </si>
  <si>
    <t>RAIO "M"</t>
  </si>
  <si>
    <t>VOL. ESCV. "M³" - TOTAL</t>
  </si>
  <si>
    <t>REATERRO "M³"</t>
  </si>
  <si>
    <t>REATERRO "M³" - TOTAL</t>
  </si>
  <si>
    <t>VOLUME  TUBO</t>
  </si>
  <si>
    <t>PINTURA PAREDE</t>
  </si>
  <si>
    <t>PINTURA                  TETO</t>
  </si>
  <si>
    <t>ABRIR - MAD</t>
  </si>
  <si>
    <t>LV</t>
  </si>
  <si>
    <t>VS</t>
  </si>
  <si>
    <t>ALTURAS ADOTADAS</t>
  </si>
  <si>
    <t xml:space="preserve">PORTA /JANELA </t>
  </si>
  <si>
    <t>ÁREA - M²</t>
  </si>
  <si>
    <t>CL VENT</t>
  </si>
  <si>
    <t>BANCADAS GRANITO</t>
  </si>
  <si>
    <t xml:space="preserve">TOTAL BANCADA GRANITO </t>
  </si>
  <si>
    <t>PINTURA EM ESQUADRIA DE MADEIRA</t>
  </si>
  <si>
    <t>P3</t>
  </si>
  <si>
    <t>BANCADA EM GRANITO COM CUBA INOX</t>
  </si>
  <si>
    <t>P4</t>
  </si>
  <si>
    <t>LAVABO</t>
  </si>
  <si>
    <t>DML</t>
  </si>
  <si>
    <t>VERTICAL</t>
  </si>
  <si>
    <t>HORIZONTAL</t>
  </si>
  <si>
    <t>RODABANCADA GRANITO</t>
  </si>
  <si>
    <t>PORTAS</t>
  </si>
  <si>
    <t>JANELAS</t>
  </si>
  <si>
    <t>ATÉ 1,5m</t>
  </si>
  <si>
    <t>MAIS DE 1,5m</t>
  </si>
  <si>
    <t>ATÉ 1,5</t>
  </si>
  <si>
    <t>MAIS DE 1,5</t>
  </si>
  <si>
    <t>PIA</t>
  </si>
  <si>
    <t>REVESTIMENTO CERÂMICO / EMBOÇO</t>
  </si>
  <si>
    <t>CUBA INOX</t>
  </si>
  <si>
    <t>TOTAL - M</t>
  </si>
  <si>
    <t>TOTAL - M²</t>
  </si>
  <si>
    <t>DIREÇÃO</t>
  </si>
  <si>
    <t>COMPR.</t>
  </si>
  <si>
    <t>ALTURA</t>
  </si>
  <si>
    <t>LARGURA</t>
  </si>
  <si>
    <t xml:space="preserve"> REATERRO - SANITÁRIO</t>
  </si>
  <si>
    <t>ESCAVAÇÃO - SANITÁRIO</t>
  </si>
  <si>
    <t>QUANTIDADE</t>
  </si>
  <si>
    <t>DESCONTO ESQUADRIA</t>
  </si>
  <si>
    <t>QUANT.</t>
  </si>
  <si>
    <t>PISO CERÂMICO</t>
  </si>
  <si>
    <t>CONTRA PISO</t>
  </si>
  <si>
    <t>TOTAL = (COMPR. X ALTURA) - DESCONTO</t>
  </si>
  <si>
    <t>TOTAL = (PERÍMETRO X ALTURA) - DESCONTO</t>
  </si>
  <si>
    <t>TOTAL = PERÍMETRO - DESCONTO</t>
  </si>
  <si>
    <t>TOTAL = LARGURA X ALTURA X QUANT.</t>
  </si>
  <si>
    <t>TOTAL = (LARGURA + 2*L) X QUANT.</t>
  </si>
  <si>
    <t>INSTALAÇÕES HIDROSSANITÁRIAS</t>
  </si>
  <si>
    <t>PINTURA/EMASSAMENTO DE PAREDE = (PERÍMETRO X ALTURA) - DESCONTO                    PINTURA/EMASSAMENTO DE TETO = ÁREA DE PISO</t>
  </si>
  <si>
    <t>OBRA: AMPLIAÇÃO DO HOSPITAL REGIONAL DE PEQUENO PORTE DE ALVORADA</t>
  </si>
  <si>
    <t>Local: ALVORADA - TO</t>
  </si>
  <si>
    <t>SALA VERMELHA</t>
  </si>
  <si>
    <t>HALL DE ENTRADA</t>
  </si>
  <si>
    <t>RAIO X LATERAL ESQUER.</t>
  </si>
  <si>
    <t>RAIO X LATERAL DIREITA</t>
  </si>
  <si>
    <t>SALA VERMELHA / DML</t>
  </si>
  <si>
    <t>RAIO X FACHADA NORTE</t>
  </si>
  <si>
    <t>RAIO X FACHADA SUL</t>
  </si>
  <si>
    <t>ESPERA / VESTIÁRIO</t>
  </si>
  <si>
    <t>ESPERA / CAMARA ESCURA</t>
  </si>
  <si>
    <t>CAMARA ESCURA / CLARA</t>
  </si>
  <si>
    <t>S. RAIO X / COMANDO</t>
  </si>
  <si>
    <t>S. RAIO X / ESPERA E VEST</t>
  </si>
  <si>
    <t>S. RAIO X / CAMARAS</t>
  </si>
  <si>
    <t>C. CLARA / COMANDO</t>
  </si>
  <si>
    <t>NECROT. LATERAL ESQ.</t>
  </si>
  <si>
    <t>NECROT. LATERAL DIR.</t>
  </si>
  <si>
    <t>NECROT. FACHADA NORTE</t>
  </si>
  <si>
    <t>NECROT. FACHADA SUL</t>
  </si>
  <si>
    <t>ESPERA / NECROT. E LAVABO</t>
  </si>
  <si>
    <t>LAVABO / NECROTÉRIO</t>
  </si>
  <si>
    <t>NECROTÉRIO</t>
  </si>
  <si>
    <t>CIRCULAÇÃO</t>
  </si>
  <si>
    <t>ESPERA RAIO X</t>
  </si>
  <si>
    <t>VESTIÁRIO</t>
  </si>
  <si>
    <t>RAIO X</t>
  </si>
  <si>
    <t>CAMARA CLARA</t>
  </si>
  <si>
    <t>CAMARA ESCURA</t>
  </si>
  <si>
    <t>ESPERA NECROTÉRIO</t>
  </si>
  <si>
    <t>RAIO X E COMANDO</t>
  </si>
  <si>
    <t>GRANITINA</t>
  </si>
  <si>
    <t>P5</t>
  </si>
  <si>
    <t>SOLEIRA DE GRANITINA</t>
  </si>
  <si>
    <t>P2</t>
  </si>
  <si>
    <t>HALL ENTRADA</t>
  </si>
  <si>
    <t>ABRIR - ALUMÍN.</t>
  </si>
  <si>
    <t>CORRER - ALUMÍN.</t>
  </si>
  <si>
    <t>J1</t>
  </si>
  <si>
    <t>J2</t>
  </si>
  <si>
    <t>J3</t>
  </si>
  <si>
    <t>COBERTURA - TELHA FIBROCIMENTO</t>
  </si>
  <si>
    <t>COBERTURA</t>
  </si>
  <si>
    <t>LOCAL</t>
  </si>
  <si>
    <t>TOTAL GERAL</t>
  </si>
  <si>
    <t>SUPERESTRUTURA</t>
  </si>
  <si>
    <t>Viga Baldrame</t>
  </si>
  <si>
    <t>Sapatas + Arranque</t>
  </si>
  <si>
    <t xml:space="preserve"> (Kg)</t>
  </si>
  <si>
    <t xml:space="preserve"> (m3)</t>
  </si>
  <si>
    <t xml:space="preserve"> (m2)</t>
  </si>
  <si>
    <t>AÇO  CA-50</t>
  </si>
  <si>
    <t xml:space="preserve">AÇO CA-60 </t>
  </si>
  <si>
    <t>CONCRETO</t>
  </si>
  <si>
    <t>DESCRIÇÃO</t>
  </si>
  <si>
    <t>SERVIÇOS</t>
  </si>
  <si>
    <t>(m3)</t>
  </si>
  <si>
    <t>(m2)</t>
  </si>
  <si>
    <t>ALV. EMBAS.</t>
  </si>
  <si>
    <t>IMPERM</t>
  </si>
  <si>
    <t>BOTA-FORA</t>
  </si>
  <si>
    <t>REATERRO</t>
  </si>
  <si>
    <t>MAGRO</t>
  </si>
  <si>
    <t>APILOAM.</t>
  </si>
  <si>
    <t xml:space="preserve">TOTAL </t>
  </si>
  <si>
    <t>SA - 12</t>
  </si>
  <si>
    <t>SA - 11</t>
  </si>
  <si>
    <t>SA - 10</t>
  </si>
  <si>
    <t>SA - 9</t>
  </si>
  <si>
    <t>SA - 8</t>
  </si>
  <si>
    <t>SA - 7</t>
  </si>
  <si>
    <t>SA - 6</t>
  </si>
  <si>
    <t>SA - 5</t>
  </si>
  <si>
    <t>SA - 4</t>
  </si>
  <si>
    <t>SA - 3</t>
  </si>
  <si>
    <t>SA - 2</t>
  </si>
  <si>
    <t>SA - 1</t>
  </si>
  <si>
    <t xml:space="preserve"> (m)</t>
  </si>
  <si>
    <t>(nº)</t>
  </si>
  <si>
    <t>H</t>
  </si>
  <si>
    <t>LADO b</t>
  </si>
  <si>
    <t>LADO a</t>
  </si>
  <si>
    <t>df</t>
  </si>
  <si>
    <t>h1</t>
  </si>
  <si>
    <t>h0</t>
  </si>
  <si>
    <t>SEÇÃO  S</t>
  </si>
  <si>
    <t>LADO H</t>
  </si>
  <si>
    <t>LADO B</t>
  </si>
  <si>
    <t>SAPATA</t>
  </si>
  <si>
    <t>SAPATAS</t>
  </si>
  <si>
    <t xml:space="preserve">SERVIÇOS  </t>
  </si>
  <si>
    <t xml:space="preserve">DIMENSÕES  </t>
  </si>
  <si>
    <t>SAPATAS E ARRANQUES</t>
  </si>
  <si>
    <t>VBA - 8</t>
  </si>
  <si>
    <t>VBA - 7</t>
  </si>
  <si>
    <t>VBA - 6</t>
  </si>
  <si>
    <t>VBA - 5</t>
  </si>
  <si>
    <t>VBA - 4</t>
  </si>
  <si>
    <t>VBA - 3</t>
  </si>
  <si>
    <t>VBA - 2</t>
  </si>
  <si>
    <t>VBA - 1</t>
  </si>
  <si>
    <t>VIGA BALDRAME</t>
  </si>
  <si>
    <t>SA - 13</t>
  </si>
  <si>
    <t>SA - 14</t>
  </si>
  <si>
    <t>SA - 15</t>
  </si>
  <si>
    <t>SA - 16</t>
  </si>
  <si>
    <t>SA - 17</t>
  </si>
  <si>
    <t>SA - 18</t>
  </si>
  <si>
    <t>SA - 19</t>
  </si>
  <si>
    <t>SA - 20</t>
  </si>
  <si>
    <t>SA - 21</t>
  </si>
  <si>
    <t>SA - 22</t>
  </si>
  <si>
    <t>VBA - 9</t>
  </si>
  <si>
    <t>VBA - 10</t>
  </si>
  <si>
    <t>VBA - 11</t>
  </si>
  <si>
    <t>VBA - 12</t>
  </si>
  <si>
    <t>VBA - 13</t>
  </si>
  <si>
    <t>VBA - 14</t>
  </si>
  <si>
    <t>VBA - 15</t>
  </si>
  <si>
    <t>VBA - 16</t>
  </si>
  <si>
    <t>VBA - 17</t>
  </si>
  <si>
    <t>VBA - 18</t>
  </si>
  <si>
    <t>VBA - 19</t>
  </si>
  <si>
    <t>VBA - 20</t>
  </si>
  <si>
    <t>VBA - 21</t>
  </si>
  <si>
    <t>VBA - 22</t>
  </si>
  <si>
    <t>VBA - 23</t>
  </si>
  <si>
    <t>BANCADA EM GRANITO</t>
  </si>
  <si>
    <t>COMPRIM.</t>
  </si>
  <si>
    <t>VASO SANITÁRIO</t>
  </si>
  <si>
    <t>TANQUE MÁRMORE</t>
  </si>
  <si>
    <t>PRONTO SOCORRO</t>
  </si>
  <si>
    <t>CHAPISCO</t>
  </si>
  <si>
    <t>TOTAL - PAREDES</t>
  </si>
  <si>
    <t>REBOCO</t>
  </si>
  <si>
    <t>TOTAL = (COMPR. X ALTURA) - DESCONTO 1 - DESCONTO 2</t>
  </si>
  <si>
    <t>ÁREA EXTERNA</t>
  </si>
  <si>
    <t>ABRIR - CHUMBO</t>
  </si>
  <si>
    <t>INCLINAÇÃO</t>
  </si>
  <si>
    <t>FORRO PVC</t>
  </si>
  <si>
    <t>ÁREA = COMPRIMENTO X RAIZ[(LARGURA*INCLINAÇÃO)² + (LARGURA²)]</t>
  </si>
  <si>
    <t>Caixas de Passagem</t>
  </si>
  <si>
    <t>Caixa de areia pluvial com grelha</t>
  </si>
  <si>
    <t>CAG- 60x60cm</t>
  </si>
  <si>
    <t>PVC Acessórios</t>
  </si>
  <si>
    <t>PVC Esgoto</t>
  </si>
  <si>
    <t>Joelho 90</t>
  </si>
  <si>
    <t>100 mm</t>
  </si>
  <si>
    <t>1 pç</t>
  </si>
  <si>
    <t>Tubo rígido c/ ponta lisa</t>
  </si>
  <si>
    <t>100 mm - 4"</t>
  </si>
  <si>
    <t>Tê sanitário</t>
  </si>
  <si>
    <t>100 mm - 100 mm</t>
  </si>
  <si>
    <t>95.12 m</t>
  </si>
  <si>
    <t>FACHADA SUL</t>
  </si>
  <si>
    <t>SALA VERMELHA (ESQUERDA)</t>
  </si>
  <si>
    <t>SALA VERMELHA (DIREITA)</t>
  </si>
  <si>
    <t>SALA VERM./ FACHADA NORTE</t>
  </si>
  <si>
    <t>DML (ESQUERDA)</t>
  </si>
  <si>
    <t>DML (DIREITA)</t>
  </si>
  <si>
    <t>DESCONTO CERÂMICA</t>
  </si>
  <si>
    <t>PISO CIMENTADO</t>
  </si>
  <si>
    <t>ESPESSURA</t>
  </si>
  <si>
    <t>TOTAL - M3</t>
  </si>
  <si>
    <t>P4A</t>
  </si>
  <si>
    <t>MAXIM AR</t>
  </si>
  <si>
    <t>JANELAS ALUMÍNIO / VIDRO</t>
  </si>
  <si>
    <t>ÁREA = 2*(LARGURA X ALTURA X QUANT. + 0,035*LARGURA + 0,035*ALTURA)</t>
  </si>
  <si>
    <t>DESCONTOS</t>
  </si>
  <si>
    <t>PRONTO SOCORRO 1</t>
  </si>
  <si>
    <t>PRONTO SOCORRO 2</t>
  </si>
  <si>
    <t>Vigas de Cobertura</t>
  </si>
  <si>
    <t>FORMA (m2)</t>
  </si>
  <si>
    <t>TOTAL SUPERESTRUTURA</t>
  </si>
  <si>
    <t>SAPATAS + BALDRAMES</t>
  </si>
  <si>
    <t>BALDRAME</t>
  </si>
  <si>
    <t>PROCEDIMENTO DE CÁLCULO:</t>
  </si>
  <si>
    <t>ESCAVAÇÃO =</t>
  </si>
  <si>
    <t>APILOAMENTO =</t>
  </si>
  <si>
    <t>MAGRO =</t>
  </si>
  <si>
    <t>APILOAMENTO*0,05</t>
  </si>
  <si>
    <t>BOTA-FORA =</t>
  </si>
  <si>
    <t>REATERRO =</t>
  </si>
  <si>
    <t>ESCAVAÇÃO - (BOTA-FORA)</t>
  </si>
  <si>
    <t>4 pç</t>
  </si>
  <si>
    <t>15 pç</t>
  </si>
  <si>
    <t>3 pç</t>
  </si>
  <si>
    <t>Caixa de inspeção esgoto simples</t>
  </si>
  <si>
    <t>CE - 60x60 cm</t>
  </si>
  <si>
    <t>Caixa sifonada</t>
  </si>
  <si>
    <t>150x150x50</t>
  </si>
  <si>
    <t>8 pç</t>
  </si>
  <si>
    <t>Sifão de copo p/ pia e lavatório</t>
  </si>
  <si>
    <t>1" - 1.1/2"</t>
  </si>
  <si>
    <t>6 pç</t>
  </si>
  <si>
    <t>1" - 2"</t>
  </si>
  <si>
    <t>Sifão flexível c/ Adaptador</t>
  </si>
  <si>
    <t>1.1/2" - 1.1/2"</t>
  </si>
  <si>
    <t>Válvula p/ lavatório e tanque</t>
  </si>
  <si>
    <t>1"</t>
  </si>
  <si>
    <t>Válvula p/ pia</t>
  </si>
  <si>
    <t>1 1/2"</t>
  </si>
  <si>
    <t>40 mm</t>
  </si>
  <si>
    <t>50 mm - 2"</t>
  </si>
  <si>
    <t>9 pç</t>
  </si>
  <si>
    <t>100x100x50</t>
  </si>
  <si>
    <t>Válvula p/ tanque</t>
  </si>
  <si>
    <t>Curva 90 curta</t>
  </si>
  <si>
    <t>Joelho 45</t>
  </si>
  <si>
    <t>50 mm</t>
  </si>
  <si>
    <t>Joelho 90 c/anel p/ esgoto secundário</t>
  </si>
  <si>
    <t>40 mm - 1.1/2"</t>
  </si>
  <si>
    <t>2 pç</t>
  </si>
  <si>
    <t>13 pç</t>
  </si>
  <si>
    <t>50 mm -50 mm</t>
  </si>
  <si>
    <t>119.50 m</t>
  </si>
  <si>
    <t>1.86 m</t>
  </si>
  <si>
    <t>25.39 m</t>
  </si>
  <si>
    <t>INSTALAÇÕES DE ÁGUAS PLUVIAIS</t>
  </si>
  <si>
    <t>ESCAVAÇÃO - ÁGUAS PLUVIAIS</t>
  </si>
  <si>
    <t xml:space="preserve"> REATERRO - ÁGUAS PLUVIAIS</t>
  </si>
  <si>
    <t>LISTA DE MATERIAIS PROJETO HIDRÁULICO</t>
  </si>
  <si>
    <t>Aparelho</t>
  </si>
  <si>
    <t>25 mm - 1/2"</t>
  </si>
  <si>
    <t>Torneira de Tanque de Lavar</t>
  </si>
  <si>
    <t>25mmx 3/4"</t>
  </si>
  <si>
    <t>Torneira de lavatório</t>
  </si>
  <si>
    <t>Vaso Sanitário p/ Válvula de Descarga de 1 1/2"</t>
  </si>
  <si>
    <t>40mm - 1 1/2"</t>
  </si>
  <si>
    <t>Metais</t>
  </si>
  <si>
    <t>Registro de gaveta bruto ABNT</t>
  </si>
  <si>
    <t>1.1/2"</t>
  </si>
  <si>
    <t>3/4"</t>
  </si>
  <si>
    <t>Válvula de descarga baixa pressão</t>
  </si>
  <si>
    <t>Bolsa de ligação p/ vaso sanitário</t>
  </si>
  <si>
    <t>Engate flexível plástico</t>
  </si>
  <si>
    <t>1/2 - 30cm</t>
  </si>
  <si>
    <t>Tubo de descarga VDE.</t>
  </si>
  <si>
    <t>38 mm</t>
  </si>
  <si>
    <t>Tubo de ligação  latão cromado c/ canopla p/ vaso Sa.</t>
  </si>
  <si>
    <t>PVC rígido soldável</t>
  </si>
  <si>
    <t>Adapt sold. c/ flange livre p/ cx. d´água</t>
  </si>
  <si>
    <t>Adapt sold.curto c/bolsa-rosca p registro</t>
  </si>
  <si>
    <t>25 mm - 3/4"</t>
  </si>
  <si>
    <t>50 mm - 1.1/2"</t>
  </si>
  <si>
    <t>Bucha de redução sold. longa</t>
  </si>
  <si>
    <t>50 mm - 25 mm</t>
  </si>
  <si>
    <t>25 mm</t>
  </si>
  <si>
    <t>Tubos</t>
  </si>
  <si>
    <t>Tê 90 soldável</t>
  </si>
  <si>
    <t>Tê de redução 90 soldável</t>
  </si>
  <si>
    <t>PVC soldável azul c/ bucha latão</t>
  </si>
  <si>
    <t>Joelho 90º soldável com  bucha de latão</t>
  </si>
  <si>
    <t>Joelho de redução 90º soldável com bucha de latão</t>
  </si>
  <si>
    <t>25 mm- 1/2"</t>
  </si>
  <si>
    <t>LISTA DE MATERIAIS PROJETO SANITÁRIO</t>
  </si>
  <si>
    <t>LISTA DE MATERIAIS PROJETO ÁGUAS PLUVIAIS</t>
  </si>
  <si>
    <t>Torneira de Pia de Despejo</t>
  </si>
  <si>
    <t>32 mm - 1"</t>
  </si>
  <si>
    <t>50 mm- 1.1/2"</t>
  </si>
  <si>
    <t>Joelho 90° soldável</t>
  </si>
  <si>
    <t>32 mm</t>
  </si>
  <si>
    <t>Joelho de redução 90 soldável</t>
  </si>
  <si>
    <t>32 mm - 25 mm</t>
  </si>
  <si>
    <t>ESCAVAÇÃO - HIDRÁULICO</t>
  </si>
  <si>
    <t xml:space="preserve"> REATERRO - HIDRÁULICO</t>
  </si>
  <si>
    <t>Rede</t>
  </si>
  <si>
    <t>Material</t>
  </si>
  <si>
    <t>Grupo</t>
  </si>
  <si>
    <t>Item</t>
  </si>
  <si>
    <t>Elétrica</t>
  </si>
  <si>
    <t>Acessórios p/ eletrodutos</t>
  </si>
  <si>
    <t>Bucha para eletroduto</t>
  </si>
  <si>
    <t>1.1/4"</t>
  </si>
  <si>
    <t>pç</t>
  </si>
  <si>
    <t>Bujão de aço galvanizado</t>
  </si>
  <si>
    <t>1.1/4'</t>
  </si>
  <si>
    <t>Caixa PVC</t>
  </si>
  <si>
    <t>4x2"</t>
  </si>
  <si>
    <t>4x4"</t>
  </si>
  <si>
    <t>Caixa PVC octogonal</t>
  </si>
  <si>
    <t>3x3"</t>
  </si>
  <si>
    <t>Contra-bucha para eletroduto</t>
  </si>
  <si>
    <t>Curva 135º PVC rosca</t>
  </si>
  <si>
    <t>Curva 90º PVC longa rosca</t>
  </si>
  <si>
    <t>Luva PVC rosca</t>
  </si>
  <si>
    <t>Acessórios uso geral</t>
  </si>
  <si>
    <t>Arame aço galvanizado</t>
  </si>
  <si>
    <t>14BWG</t>
  </si>
  <si>
    <t>m</t>
  </si>
  <si>
    <t>Bucha de nylon</t>
  </si>
  <si>
    <t>S4</t>
  </si>
  <si>
    <t>S6</t>
  </si>
  <si>
    <t>Massa para calafetar</t>
  </si>
  <si>
    <t>1 kg</t>
  </si>
  <si>
    <t>kg</t>
  </si>
  <si>
    <t>Parafuso cabeça quadrada</t>
  </si>
  <si>
    <t>16x120mm</t>
  </si>
  <si>
    <t>Parafuso fenda galvan. cab. panela</t>
  </si>
  <si>
    <t>2,9x25mm autoatarrachante</t>
  </si>
  <si>
    <t>4,2x32mm autoatarrachante</t>
  </si>
  <si>
    <t>Cabo Unipolar (cobre)</t>
  </si>
  <si>
    <t>Isol.PVC - 450/750V (ref. Pirelli  Pirastic Ecoplus BWF Flexível)</t>
  </si>
  <si>
    <t>16 mm²</t>
  </si>
  <si>
    <t>2.5 mm²</t>
  </si>
  <si>
    <t>35 mm²</t>
  </si>
  <si>
    <t>4 mm²</t>
  </si>
  <si>
    <t>6 mm²</t>
  </si>
  <si>
    <t>Caixa de passagem - embutir</t>
  </si>
  <si>
    <t>Aço pintada (ref Cemar)</t>
  </si>
  <si>
    <t>530x530x152 mm</t>
  </si>
  <si>
    <t>Dispositivo Elétrico - embutido</t>
  </si>
  <si>
    <t>Placa 2x4"</t>
  </si>
  <si>
    <t>Interruptor 2 simples &amp; paralela - 3 teclas</t>
  </si>
  <si>
    <t>Interruptor simples &amp; paralelo - 2 teclas</t>
  </si>
  <si>
    <t>Interruptor simples - 1 tecla</t>
  </si>
  <si>
    <t>Interruptor simples - 2 teclas</t>
  </si>
  <si>
    <t>Interruptor simples - 3 teclas</t>
  </si>
  <si>
    <t>Placa p/ 1 função</t>
  </si>
  <si>
    <t>Placa p/ 2 funções</t>
  </si>
  <si>
    <t>Interruptor 1 tecla simples e tomada hexagonal (NBR14136)</t>
  </si>
  <si>
    <t>Dispositivo de Proteção</t>
  </si>
  <si>
    <t>Disjuntor Tripolar Termomagnético - norma DIN</t>
  </si>
  <si>
    <t>125A</t>
  </si>
  <si>
    <t>16 A</t>
  </si>
  <si>
    <t>Disjuntor Unipolar Termomagnético - norma DIN</t>
  </si>
  <si>
    <t>Eletroduto PVC flexível</t>
  </si>
  <si>
    <t>Eletroduto leve</t>
  </si>
  <si>
    <t>Eletroduto PVC rosca</t>
  </si>
  <si>
    <t>Braçadeira galvan. tipo cunha</t>
  </si>
  <si>
    <t>2"</t>
  </si>
  <si>
    <t>Eletroduto, vara 3,0m</t>
  </si>
  <si>
    <t>Luminária e acessórios</t>
  </si>
  <si>
    <t>Luminária sobrepor p/ fluoresc. tubular</t>
  </si>
  <si>
    <t>Reator eletromagnético p/ fluorescente compacta</t>
  </si>
  <si>
    <t>Reator eletrônico p/ fluorescente tubular</t>
  </si>
  <si>
    <t>2x40W</t>
  </si>
  <si>
    <t>Soquete</t>
  </si>
  <si>
    <t>base G 13</t>
  </si>
  <si>
    <t>base G 24</t>
  </si>
  <si>
    <t>Spot</t>
  </si>
  <si>
    <t>1 compacta</t>
  </si>
  <si>
    <t>Lâmpada fluorescente</t>
  </si>
  <si>
    <t>Compacta reator não integrado - dupla</t>
  </si>
  <si>
    <t>Tubular comum - diam. 33mm</t>
  </si>
  <si>
    <t>Quadro distrib. plástico - embutir</t>
  </si>
  <si>
    <t>Barr. trif., - DIN (Ref. Hager)</t>
  </si>
  <si>
    <t>10 A</t>
  </si>
  <si>
    <t>Quant.</t>
  </si>
  <si>
    <t>Unid.</t>
  </si>
  <si>
    <t>ARGAMASSA BARITADA</t>
  </si>
  <si>
    <t>RODAPÉ</t>
  </si>
  <si>
    <t>SERVIÇOS COMPLEMENTARES</t>
  </si>
  <si>
    <t>BATE MACAS</t>
  </si>
  <si>
    <t>CIRCULAÇÃO DO PRONTO SOCORRO</t>
  </si>
  <si>
    <t>COMPR - M</t>
  </si>
  <si>
    <t>CORRER - 4 FOLHAS</t>
  </si>
  <si>
    <t>CORRER - 2 FOLHAS</t>
  </si>
  <si>
    <t>ÁREA DO PRONTO SOCORRO</t>
  </si>
  <si>
    <t>ATERRO</t>
  </si>
  <si>
    <t>PIA LOUÇA BRANCA SUSPENSA</t>
  </si>
  <si>
    <t>ESCAVAÇÃO - ELETRODUTOS</t>
  </si>
  <si>
    <t xml:space="preserve"> REATERRO - ELETRODUTOS</t>
  </si>
  <si>
    <t>Cap. 12 disj. unip. - In Pente 63A</t>
  </si>
  <si>
    <t>5,0mm          (kg)</t>
  </si>
  <si>
    <t>6,3mm          (kg)</t>
  </si>
  <si>
    <t>8,0mm          (kg)</t>
  </si>
  <si>
    <t>10,0mm          (kg)</t>
  </si>
  <si>
    <t xml:space="preserve"> DESCONTO ABERTURAS ESQUADRIAS   </t>
  </si>
  <si>
    <t>TOTAL - M2</t>
  </si>
  <si>
    <t>MEMÓRIA DE CÁLCULO - PRONTO SOCORRO</t>
  </si>
  <si>
    <t>MEMÓRIA DE CÁLCULO - RAIO X</t>
  </si>
  <si>
    <t>MEMÓRIA DE CÁLCULO - NECROTÉRIO</t>
  </si>
  <si>
    <t>MEMÓRIA DE CÁLCULO - SERVIÇOS GERAIS</t>
  </si>
  <si>
    <t>HORAS DIÁRIAS</t>
  </si>
  <si>
    <t>DIA POR MÊS</t>
  </si>
  <si>
    <t>DURAÇÃO DA OBRA</t>
  </si>
  <si>
    <t>ENGENHEIRO CIVIL DE OBRA JUNIOR (EM HORAS)</t>
  </si>
  <si>
    <t>ENCARREGADO GERAL DE OBRAS (EM MESES)</t>
  </si>
  <si>
    <t>TOTAL (ENGENHEIRO) = HORAS DIÁRIAS X DIA POR MÊS X DURAÇÃO DA OBRA</t>
  </si>
  <si>
    <t>TAPUME DE CHAPA DE MADEIRA</t>
  </si>
  <si>
    <t>ADMINISTRAÇÃO DE OBRA</t>
  </si>
  <si>
    <t>INSTALAÇÕES PROVISÓRIAS</t>
  </si>
  <si>
    <t>PLACA DE OBRA</t>
  </si>
  <si>
    <t>ALMOXARIFADO</t>
  </si>
  <si>
    <t>SANITÁRIO</t>
  </si>
  <si>
    <t>IMPERM.</t>
  </si>
  <si>
    <t>(LARG. X ALTURA X COMP.) + MAGRO</t>
  </si>
  <si>
    <t>ESCAV.</t>
  </si>
  <si>
    <t>ARRANQUES</t>
  </si>
  <si>
    <t>(LARG.+ 0,2)*(ALT.+ 0,05 - 0,08)*COMP.</t>
  </si>
  <si>
    <t>(LARGURA + 0,2)*COMP.</t>
  </si>
  <si>
    <t>(LADO B+0,1)*(LADO H+0,1)*(df + 0,05)</t>
  </si>
  <si>
    <t>(LADO B + 0,1)*(LADO H + 0,1)</t>
  </si>
  <si>
    <t>(SEÇÃO S*h1) + (SEÇÃO P*H) + MAGRO</t>
  </si>
  <si>
    <t>SEÇÃO P</t>
  </si>
  <si>
    <t>VOLUME</t>
  </si>
  <si>
    <t>MOVIMENTOS DE TERRA, INFRAESTRUTURA E SUPERESTRUTURA</t>
  </si>
  <si>
    <t>INFRAESTRUTURA</t>
  </si>
  <si>
    <t>Pilares</t>
  </si>
  <si>
    <t>TOTAL INFRAESTRUTURA</t>
  </si>
  <si>
    <t>RESUMO PROJETO ESTRUTURAL</t>
  </si>
  <si>
    <t>Fck=25 (MPa)</t>
  </si>
  <si>
    <t>DIMENSÕES</t>
  </si>
  <si>
    <t>DESCONSIDERADO 10% DE PERDA DO AÇO</t>
  </si>
  <si>
    <t>SERVIÇOS PRELIMINARES</t>
  </si>
  <si>
    <t>LOCAÇÃO DA OBRA</t>
  </si>
  <si>
    <t>LIMPEZA DO TERRENO</t>
  </si>
  <si>
    <t>CALÇADA</t>
  </si>
  <si>
    <t>LIGAÇÃO PROVISÓRIA DE ÁGUA E ENERGIA</t>
  </si>
  <si>
    <t>ÁGUA</t>
  </si>
  <si>
    <t>ENERGIA</t>
  </si>
  <si>
    <t>C-25MPa</t>
  </si>
  <si>
    <t>LANÇAMENTO COM USO DE BALDES</t>
  </si>
  <si>
    <t>LANÇAMENTO EM FUNDAÇÃO</t>
  </si>
  <si>
    <t/>
  </si>
  <si>
    <t>VEDAÇÃO DE PAREDES E PAINÉIS</t>
  </si>
  <si>
    <t>ALVENARIA DE VEDAÇÃO COM BLOCO CERÂMICO</t>
  </si>
  <si>
    <t>VERGAS/CONTRAVERGAS</t>
  </si>
  <si>
    <t>RUFO METÁLICO</t>
  </si>
  <si>
    <t>CALHA METÁLICA</t>
  </si>
  <si>
    <t>REVESTIMENTOS DE PISO</t>
  </si>
  <si>
    <t>REVESTIMENTOS DE PAREDE</t>
  </si>
  <si>
    <t>REVESTIMENTOS DE FORRO</t>
  </si>
  <si>
    <t>PINTURA</t>
  </si>
  <si>
    <t>PINTURA DE PAREDE COM TINTA ACRÍLICA</t>
  </si>
  <si>
    <t>PINTURA DE TETO COM TINTA PVA</t>
  </si>
  <si>
    <t>PINTURA ESMALTE</t>
  </si>
  <si>
    <t>PINTURA EM SUPERFÍCIE METÁLICA</t>
  </si>
  <si>
    <t>PINGADEIRA (CHAPIM)</t>
  </si>
  <si>
    <t>LIMPEZA DA OBRA</t>
  </si>
  <si>
    <t>ESQUADRIAS</t>
  </si>
  <si>
    <t>PAREDES EXTERNAS RAIO X</t>
  </si>
  <si>
    <t>PAREDES EXTERNAS P. SOCORRO</t>
  </si>
  <si>
    <t>DESCONTO</t>
  </si>
  <si>
    <t>APLICAÇÃO DE GESSO</t>
  </si>
  <si>
    <t>PASARELA</t>
  </si>
  <si>
    <t>ÁREA = COMPR. x LARGURA</t>
  </si>
  <si>
    <t>HALL</t>
  </si>
  <si>
    <t>BANHEIRO</t>
  </si>
  <si>
    <t>PAREDES EXTERNAS NECROTÉRIO</t>
  </si>
  <si>
    <t>LOUÇAS, BANCADAS E METAIS</t>
  </si>
  <si>
    <t>INSTALAÇÕES ELÉTRICAS</t>
  </si>
  <si>
    <t>26.17 m</t>
  </si>
  <si>
    <t>4.24</t>
  </si>
  <si>
    <t>75 mm</t>
  </si>
  <si>
    <t>75 mm - 50 mm</t>
  </si>
  <si>
    <t>32.50 m</t>
  </si>
  <si>
    <t>71.14 m</t>
  </si>
  <si>
    <t>Curva 45 longa</t>
  </si>
  <si>
    <t>Tomada hexagonal (NBR 14136) 2P+T 10A - Baixa</t>
  </si>
  <si>
    <t>Tomada hexagonal (NBR 14136) 2P+T 10A - Média</t>
  </si>
  <si>
    <t>Tomada hexagonal (NBR 14136) 2P+T 10A - Alta</t>
  </si>
  <si>
    <t>Tomada hexagonal (NBR 14136) 3P+T 10A</t>
  </si>
  <si>
    <t>36 W</t>
  </si>
  <si>
    <t>1x20 W</t>
  </si>
  <si>
    <t>2x36 W</t>
  </si>
  <si>
    <t>15 W</t>
  </si>
  <si>
    <t>LIMPEZA FINAL</t>
  </si>
  <si>
    <t>PLACA DE ACRÍLICO P/ PORTAS</t>
  </si>
  <si>
    <t>PLACA TÁTIL BRAILLE/RELEVO</t>
  </si>
  <si>
    <t>UNIDADES</t>
  </si>
  <si>
    <t>PLACA TÁTIL FIXADA EM BATENTES</t>
  </si>
  <si>
    <t>PISO TÁTIL ALERTA</t>
  </si>
  <si>
    <t>PISO TÁTIL DIRECIONAL</t>
  </si>
  <si>
    <t>TOTAL = [(COMPR. + 2)*2] + [(LARGURA + 2)*2]</t>
  </si>
  <si>
    <t>TOTAL=[(COMPR.+2)*2]+[(LARGURA+2)*2]</t>
  </si>
  <si>
    <t>TOTAL (COMPR. x ALTURA)</t>
  </si>
  <si>
    <t>TOTAL = (COMPR.+2)*(LARGURA+2)</t>
  </si>
  <si>
    <t>Área: 108,88 m²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</si>
</sst>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000"/>
    <numFmt numFmtId="171" formatCode="0.0000"/>
    <numFmt numFmtId="172" formatCode="0.000"/>
    <numFmt numFmtId="173" formatCode="_-* #,##0.000_-;\-* #,##0.000_-;_-* &quot;-&quot;??_-;_-@_-"/>
    <numFmt numFmtId="174" formatCode="#,##0.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6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4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theme="3" tint="0.39998000860214233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49" fontId="2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Border="1" applyAlignment="1">
      <alignment/>
    </xf>
    <xf numFmtId="43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169" fontId="25" fillId="0" borderId="10" xfId="75" applyFont="1" applyFill="1" applyBorder="1" applyAlignment="1">
      <alignment vertical="center"/>
    </xf>
    <xf numFmtId="43" fontId="24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Alignment="1">
      <alignment vertical="center"/>
    </xf>
    <xf numFmtId="0" fontId="23" fillId="0" borderId="0" xfId="54" applyFont="1" applyFill="1" applyBorder="1" applyAlignment="1">
      <alignment vertical="center"/>
      <protection/>
    </xf>
    <xf numFmtId="0" fontId="25" fillId="0" borderId="0" xfId="54" applyFont="1" applyFill="1" applyAlignment="1">
      <alignment vertical="center"/>
      <protection/>
    </xf>
    <xf numFmtId="0" fontId="25" fillId="0" borderId="0" xfId="54" applyFont="1" applyFill="1" applyAlignment="1">
      <alignment horizontal="center" vertical="center"/>
      <protection/>
    </xf>
    <xf numFmtId="0" fontId="27" fillId="0" borderId="0" xfId="54" applyFont="1" applyFill="1" applyBorder="1" applyAlignment="1">
      <alignment vertical="center"/>
      <protection/>
    </xf>
    <xf numFmtId="169" fontId="24" fillId="0" borderId="0" xfId="75" applyFont="1" applyFill="1" applyBorder="1" applyAlignment="1">
      <alignment horizontal="center" vertical="center"/>
    </xf>
    <xf numFmtId="169" fontId="25" fillId="0" borderId="10" xfId="75" applyFont="1" applyFill="1" applyBorder="1" applyAlignment="1">
      <alignment horizontal="center" vertical="center"/>
    </xf>
    <xf numFmtId="0" fontId="25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169" fontId="24" fillId="0" borderId="0" xfId="58" applyNumberFormat="1" applyFont="1" applyFill="1" applyBorder="1" applyAlignment="1">
      <alignment horizontal="center" vertical="center"/>
      <protection/>
    </xf>
    <xf numFmtId="169" fontId="24" fillId="0" borderId="0" xfId="77" applyFont="1" applyFill="1" applyBorder="1" applyAlignment="1">
      <alignment horizontal="center" vertical="center"/>
    </xf>
    <xf numFmtId="169" fontId="25" fillId="0" borderId="0" xfId="77" applyFont="1" applyFill="1" applyBorder="1" applyAlignment="1">
      <alignment vertical="center"/>
    </xf>
    <xf numFmtId="169" fontId="24" fillId="0" borderId="0" xfId="0" applyNumberFormat="1" applyFont="1" applyFill="1" applyAlignment="1">
      <alignment horizontal="center" vertical="center"/>
    </xf>
    <xf numFmtId="169" fontId="25" fillId="0" borderId="10" xfId="75" applyFont="1" applyFill="1" applyBorder="1" applyAlignment="1">
      <alignment vertical="center" wrapText="1"/>
    </xf>
    <xf numFmtId="169" fontId="25" fillId="0" borderId="10" xfId="75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169" fontId="24" fillId="0" borderId="0" xfId="75" applyFont="1" applyFill="1" applyBorder="1" applyAlignment="1">
      <alignment horizontal="left" vertical="center"/>
    </xf>
    <xf numFmtId="169" fontId="25" fillId="0" borderId="0" xfId="75" applyFont="1" applyFill="1" applyBorder="1" applyAlignment="1">
      <alignment vertical="center"/>
    </xf>
    <xf numFmtId="169" fontId="24" fillId="0" borderId="0" xfId="75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8" fontId="29" fillId="0" borderId="0" xfId="47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171" fontId="25" fillId="0" borderId="10" xfId="0" applyNumberFormat="1" applyFont="1" applyBorder="1" applyAlignment="1">
      <alignment horizontal="center" vertical="center"/>
    </xf>
    <xf numFmtId="170" fontId="25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169" fontId="23" fillId="0" borderId="0" xfId="75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 vertical="center"/>
    </xf>
    <xf numFmtId="2" fontId="25" fillId="12" borderId="22" xfId="0" applyNumberFormat="1" applyFont="1" applyFill="1" applyBorder="1" applyAlignment="1">
      <alignment horizontal="center" vertical="center"/>
    </xf>
    <xf numFmtId="2" fontId="24" fillId="12" borderId="23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171" fontId="25" fillId="0" borderId="21" xfId="0" applyNumberFormat="1" applyFont="1" applyBorder="1" applyAlignment="1">
      <alignment horizontal="center" vertical="center"/>
    </xf>
    <xf numFmtId="170" fontId="25" fillId="0" borderId="21" xfId="0" applyNumberFormat="1" applyFont="1" applyBorder="1" applyAlignment="1">
      <alignment horizontal="center" vertical="center"/>
    </xf>
    <xf numFmtId="2" fontId="24" fillId="28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59" applyFont="1" applyAlignment="1">
      <alignment vertical="center"/>
      <protection/>
    </xf>
    <xf numFmtId="169" fontId="25" fillId="0" borderId="10" xfId="77" applyFont="1" applyFill="1" applyBorder="1" applyAlignment="1">
      <alignment vertical="center"/>
    </xf>
    <xf numFmtId="169" fontId="33" fillId="0" borderId="0" xfId="75" applyFont="1" applyFill="1" applyBorder="1" applyAlignment="1">
      <alignment vertical="center"/>
    </xf>
    <xf numFmtId="0" fontId="24" fillId="0" borderId="0" xfId="59" applyFont="1" applyFill="1" applyBorder="1" applyAlignment="1">
      <alignment vertical="center"/>
      <protection/>
    </xf>
    <xf numFmtId="2" fontId="25" fillId="28" borderId="22" xfId="0" applyNumberFormat="1" applyFont="1" applyFill="1" applyBorder="1" applyAlignment="1">
      <alignment horizontal="center" vertical="center"/>
    </xf>
    <xf numFmtId="9" fontId="25" fillId="0" borderId="10" xfId="6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4" fillId="0" borderId="0" xfId="55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67" fillId="0" borderId="2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vertical="center"/>
    </xf>
    <xf numFmtId="0" fontId="49" fillId="0" borderId="24" xfId="55" applyBorder="1">
      <alignment/>
      <protection/>
    </xf>
    <xf numFmtId="0" fontId="49" fillId="0" borderId="25" xfId="55" applyBorder="1">
      <alignment/>
      <protection/>
    </xf>
    <xf numFmtId="0" fontId="49" fillId="0" borderId="26" xfId="55" applyBorder="1">
      <alignment/>
      <protection/>
    </xf>
    <xf numFmtId="0" fontId="49" fillId="0" borderId="0" xfId="55" applyBorder="1">
      <alignment/>
      <protection/>
    </xf>
    <xf numFmtId="0" fontId="49" fillId="0" borderId="27" xfId="55" applyBorder="1">
      <alignment/>
      <protection/>
    </xf>
    <xf numFmtId="0" fontId="49" fillId="0" borderId="28" xfId="55" applyBorder="1">
      <alignment/>
      <protection/>
    </xf>
    <xf numFmtId="0" fontId="35" fillId="0" borderId="0" xfId="0" applyFont="1" applyBorder="1" applyAlignment="1">
      <alignment vertical="center"/>
    </xf>
    <xf numFmtId="0" fontId="0" fillId="0" borderId="0" xfId="0" applyAlignment="1">
      <alignment/>
    </xf>
    <xf numFmtId="0" fontId="25" fillId="0" borderId="10" xfId="54" applyFont="1" applyFill="1" applyBorder="1" applyAlignment="1">
      <alignment vertical="center"/>
      <protection/>
    </xf>
    <xf numFmtId="0" fontId="49" fillId="0" borderId="0" xfId="55" applyAlignment="1">
      <alignment vertical="center"/>
      <protection/>
    </xf>
    <xf numFmtId="0" fontId="24" fillId="0" borderId="0" xfId="54" applyFont="1" applyFill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4" fillId="0" borderId="31" xfId="55" applyFont="1" applyFill="1" applyBorder="1" applyAlignment="1">
      <alignment vertical="center"/>
      <protection/>
    </xf>
    <xf numFmtId="4" fontId="34" fillId="0" borderId="31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vertical="center"/>
      <protection/>
    </xf>
    <xf numFmtId="0" fontId="36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69" fontId="24" fillId="34" borderId="10" xfId="75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7" fillId="0" borderId="0" xfId="58" applyFont="1" applyFill="1" applyBorder="1" applyAlignment="1">
      <alignment vertical="center"/>
      <protection/>
    </xf>
    <xf numFmtId="43" fontId="24" fillId="34" borderId="10" xfId="77" applyNumberFormat="1" applyFont="1" applyFill="1" applyBorder="1" applyAlignment="1">
      <alignment horizontal="center" vertical="center"/>
    </xf>
    <xf numFmtId="169" fontId="24" fillId="34" borderId="10" xfId="7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center" vertical="center"/>
    </xf>
    <xf numFmtId="169" fontId="24" fillId="34" borderId="10" xfId="59" applyNumberFormat="1" applyFont="1" applyFill="1" applyBorder="1" applyAlignment="1">
      <alignment horizontal="center" vertical="center"/>
      <protection/>
    </xf>
    <xf numFmtId="2" fontId="24" fillId="8" borderId="10" xfId="0" applyNumberFormat="1" applyFont="1" applyFill="1" applyBorder="1" applyAlignment="1">
      <alignment horizontal="center" vertical="center"/>
    </xf>
    <xf numFmtId="2" fontId="24" fillId="11" borderId="10" xfId="0" applyNumberFormat="1" applyFont="1" applyFill="1" applyBorder="1" applyAlignment="1">
      <alignment horizontal="center" vertical="center"/>
    </xf>
    <xf numFmtId="0" fontId="68" fillId="0" borderId="32" xfId="0" applyFont="1" applyBorder="1" applyAlignment="1">
      <alignment/>
    </xf>
    <xf numFmtId="0" fontId="25" fillId="0" borderId="33" xfId="0" applyFont="1" applyBorder="1" applyAlignment="1">
      <alignment vertical="center"/>
    </xf>
    <xf numFmtId="2" fontId="69" fillId="34" borderId="10" xfId="0" applyNumberFormat="1" applyFont="1" applyFill="1" applyBorder="1" applyAlignment="1">
      <alignment horizontal="center" vertical="center"/>
    </xf>
    <xf numFmtId="2" fontId="25" fillId="12" borderId="10" xfId="0" applyNumberFormat="1" applyFont="1" applyFill="1" applyBorder="1" applyAlignment="1">
      <alignment horizontal="center" vertical="center"/>
    </xf>
    <xf numFmtId="2" fontId="25" fillId="28" borderId="10" xfId="0" applyNumberFormat="1" applyFont="1" applyFill="1" applyBorder="1" applyAlignment="1">
      <alignment horizontal="center" vertical="center"/>
    </xf>
    <xf numFmtId="2" fontId="24" fillId="28" borderId="10" xfId="0" applyNumberFormat="1" applyFont="1" applyFill="1" applyBorder="1" applyAlignment="1">
      <alignment horizontal="center" vertical="center"/>
    </xf>
    <xf numFmtId="2" fontId="24" fillId="12" borderId="10" xfId="0" applyNumberFormat="1" applyFont="1" applyFill="1" applyBorder="1" applyAlignment="1">
      <alignment horizontal="center" vertical="center"/>
    </xf>
    <xf numFmtId="169" fontId="24" fillId="34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57" applyBorder="1" applyAlignment="1">
      <alignment vertical="center"/>
      <protection/>
    </xf>
    <xf numFmtId="0" fontId="70" fillId="0" borderId="10" xfId="57" applyFont="1" applyBorder="1" applyAlignment="1">
      <alignment vertical="center"/>
      <protection/>
    </xf>
    <xf numFmtId="0" fontId="70" fillId="0" borderId="0" xfId="55" applyFont="1" applyAlignment="1">
      <alignment vertical="center"/>
      <protection/>
    </xf>
    <xf numFmtId="0" fontId="70" fillId="0" borderId="0" xfId="57" applyFont="1" applyBorder="1" applyAlignment="1">
      <alignment vertical="center"/>
      <protection/>
    </xf>
    <xf numFmtId="0" fontId="23" fillId="0" borderId="35" xfId="55" applyFont="1" applyBorder="1" applyAlignment="1">
      <alignment horizontal="center" vertical="center"/>
      <protection/>
    </xf>
    <xf numFmtId="0" fontId="66" fillId="0" borderId="36" xfId="55" applyFont="1" applyBorder="1" applyAlignment="1">
      <alignment horizontal="center" vertical="center"/>
      <protection/>
    </xf>
    <xf numFmtId="0" fontId="23" fillId="0" borderId="36" xfId="55" applyFont="1" applyBorder="1" applyAlignment="1">
      <alignment horizontal="center" vertical="center"/>
      <protection/>
    </xf>
    <xf numFmtId="0" fontId="23" fillId="0" borderId="35" xfId="57" applyFont="1" applyBorder="1" applyAlignment="1">
      <alignment horizontal="center" vertical="center"/>
      <protection/>
    </xf>
    <xf numFmtId="0" fontId="23" fillId="0" borderId="35" xfId="57" applyFont="1" applyFill="1" applyBorder="1" applyAlignment="1">
      <alignment horizontal="center" vertical="center"/>
      <protection/>
    </xf>
    <xf numFmtId="0" fontId="23" fillId="0" borderId="36" xfId="57" applyFont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49" fontId="69" fillId="0" borderId="10" xfId="57" applyNumberFormat="1" applyFont="1" applyBorder="1" applyAlignment="1">
      <alignment horizontal="center" vertical="center"/>
      <protection/>
    </xf>
    <xf numFmtId="4" fontId="67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Border="1" applyAlignment="1">
      <alignment horizontal="center" vertical="center"/>
      <protection/>
    </xf>
    <xf numFmtId="4" fontId="72" fillId="0" borderId="10" xfId="57" applyNumberFormat="1" applyFont="1" applyFill="1" applyBorder="1" applyAlignment="1">
      <alignment horizontal="center" vertical="center"/>
      <protection/>
    </xf>
    <xf numFmtId="4" fontId="73" fillId="0" borderId="10" xfId="57" applyNumberFormat="1" applyFont="1" applyFill="1" applyBorder="1" applyAlignment="1">
      <alignment horizontal="center" vertical="center"/>
      <protection/>
    </xf>
    <xf numFmtId="4" fontId="74" fillId="0" borderId="10" xfId="57" applyNumberFormat="1" applyFont="1" applyFill="1" applyBorder="1" applyAlignment="1">
      <alignment horizontal="center" vertical="center"/>
      <protection/>
    </xf>
    <xf numFmtId="4" fontId="75" fillId="0" borderId="10" xfId="57" applyNumberFormat="1" applyFont="1" applyFill="1" applyBorder="1" applyAlignment="1">
      <alignment horizontal="center" vertical="center"/>
      <protection/>
    </xf>
    <xf numFmtId="174" fontId="76" fillId="0" borderId="10" xfId="57" applyNumberFormat="1" applyFont="1" applyBorder="1" applyAlignment="1">
      <alignment horizontal="center" vertical="center"/>
      <protection/>
    </xf>
    <xf numFmtId="4" fontId="76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Fill="1" applyBorder="1" applyAlignment="1">
      <alignment horizontal="center" vertical="center"/>
      <protection/>
    </xf>
    <xf numFmtId="4" fontId="24" fillId="34" borderId="10" xfId="55" applyNumberFormat="1" applyFont="1" applyFill="1" applyBorder="1" applyAlignment="1">
      <alignment horizontal="center" vertical="center"/>
      <protection/>
    </xf>
    <xf numFmtId="4" fontId="24" fillId="33" borderId="10" xfId="55" applyNumberFormat="1" applyFont="1" applyFill="1" applyBorder="1" applyAlignment="1">
      <alignment horizontal="center" vertical="center"/>
      <protection/>
    </xf>
    <xf numFmtId="49" fontId="69" fillId="0" borderId="10" xfId="55" applyNumberFormat="1" applyFont="1" applyBorder="1" applyAlignment="1">
      <alignment horizontal="center" vertical="center"/>
      <protection/>
    </xf>
    <xf numFmtId="4" fontId="71" fillId="0" borderId="10" xfId="55" applyNumberFormat="1" applyFont="1" applyBorder="1" applyAlignment="1">
      <alignment horizontal="center" vertical="center"/>
      <protection/>
    </xf>
    <xf numFmtId="4" fontId="77" fillId="0" borderId="10" xfId="55" applyNumberFormat="1" applyFont="1" applyBorder="1" applyAlignment="1">
      <alignment horizontal="center" vertical="center"/>
      <protection/>
    </xf>
    <xf numFmtId="4" fontId="24" fillId="34" borderId="10" xfId="57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169" fontId="78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/>
      <protection/>
    </xf>
    <xf numFmtId="169" fontId="34" fillId="34" borderId="10" xfId="55" applyNumberFormat="1" applyFont="1" applyFill="1" applyBorder="1" applyAlignment="1">
      <alignment horizontal="center" vertical="center"/>
      <protection/>
    </xf>
    <xf numFmtId="169" fontId="34" fillId="33" borderId="10" xfId="55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10" fontId="0" fillId="0" borderId="0" xfId="61" applyNumberFormat="1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2" fontId="24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right" vertical="center"/>
      <protection/>
    </xf>
    <xf numFmtId="169" fontId="25" fillId="0" borderId="10" xfId="77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9" fillId="0" borderId="15" xfId="55" applyBorder="1" applyAlignment="1">
      <alignment horizontal="right"/>
      <protection/>
    </xf>
    <xf numFmtId="0" fontId="49" fillId="0" borderId="37" xfId="55" applyBorder="1" applyAlignment="1">
      <alignment horizontal="right"/>
      <protection/>
    </xf>
    <xf numFmtId="0" fontId="49" fillId="0" borderId="38" xfId="55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0" xfId="58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34" fillId="0" borderId="10" xfId="5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/>
    </xf>
    <xf numFmtId="0" fontId="24" fillId="34" borderId="10" xfId="55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right" vertical="center"/>
      <protection/>
    </xf>
    <xf numFmtId="0" fontId="25" fillId="0" borderId="10" xfId="54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70" fillId="0" borderId="10" xfId="57" applyFont="1" applyBorder="1" applyAlignment="1">
      <alignment horizontal="left" vertical="center"/>
      <protection/>
    </xf>
    <xf numFmtId="0" fontId="34" fillId="36" borderId="10" xfId="55" applyFont="1" applyFill="1" applyBorder="1" applyAlignment="1">
      <alignment horizontal="center" vertical="center"/>
      <protection/>
    </xf>
    <xf numFmtId="0" fontId="34" fillId="33" borderId="10" xfId="55" applyFont="1" applyFill="1" applyBorder="1" applyAlignment="1">
      <alignment horizontal="center" vertical="center"/>
      <protection/>
    </xf>
    <xf numFmtId="0" fontId="34" fillId="37" borderId="10" xfId="55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34" fillId="38" borderId="10" xfId="55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/>
      <protection/>
    </xf>
    <xf numFmtId="169" fontId="25" fillId="0" borderId="40" xfId="75" applyFont="1" applyFill="1" applyBorder="1" applyAlignment="1">
      <alignment horizontal="left" vertical="center"/>
    </xf>
    <xf numFmtId="169" fontId="25" fillId="0" borderId="41" xfId="75" applyFont="1" applyFill="1" applyBorder="1" applyAlignment="1">
      <alignment horizontal="left" vertical="center"/>
    </xf>
    <xf numFmtId="0" fontId="24" fillId="0" borderId="10" xfId="55" applyFont="1" applyBorder="1" applyAlignment="1">
      <alignment horizontal="center" vertical="center"/>
      <protection/>
    </xf>
    <xf numFmtId="0" fontId="69" fillId="0" borderId="45" xfId="57" applyFont="1" applyBorder="1" applyAlignment="1">
      <alignment horizontal="center" vertical="center"/>
      <protection/>
    </xf>
    <xf numFmtId="0" fontId="69" fillId="0" borderId="32" xfId="57" applyFont="1" applyBorder="1" applyAlignment="1">
      <alignment horizontal="center" vertical="center"/>
      <protection/>
    </xf>
    <xf numFmtId="0" fontId="69" fillId="0" borderId="46" xfId="57" applyFont="1" applyBorder="1" applyAlignment="1">
      <alignment horizontal="center" vertical="center"/>
      <protection/>
    </xf>
    <xf numFmtId="0" fontId="69" fillId="0" borderId="47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69" fillId="0" borderId="48" xfId="57" applyFont="1" applyBorder="1" applyAlignment="1">
      <alignment horizontal="center" vertical="center"/>
      <protection/>
    </xf>
    <xf numFmtId="4" fontId="69" fillId="0" borderId="49" xfId="57" applyNumberFormat="1" applyFont="1" applyBorder="1" applyAlignment="1">
      <alignment horizontal="center" vertical="center"/>
      <protection/>
    </xf>
    <xf numFmtId="4" fontId="69" fillId="0" borderId="33" xfId="57" applyNumberFormat="1" applyFont="1" applyBorder="1" applyAlignment="1">
      <alignment horizontal="center" vertical="center"/>
      <protection/>
    </xf>
    <xf numFmtId="4" fontId="69" fillId="0" borderId="50" xfId="57" applyNumberFormat="1" applyFont="1" applyBorder="1" applyAlignment="1">
      <alignment horizontal="center" vertical="center"/>
      <protection/>
    </xf>
    <xf numFmtId="4" fontId="49" fillId="0" borderId="10" xfId="55" applyNumberFormat="1" applyFont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79" fillId="0" borderId="0" xfId="57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34" fillId="36" borderId="40" xfId="57" applyFont="1" applyFill="1" applyBorder="1" applyAlignment="1">
      <alignment horizontal="center" vertical="center"/>
      <protection/>
    </xf>
    <xf numFmtId="0" fontId="34" fillId="36" borderId="31" xfId="57" applyFont="1" applyFill="1" applyBorder="1" applyAlignment="1">
      <alignment horizontal="center" vertical="center"/>
      <protection/>
    </xf>
    <xf numFmtId="0" fontId="34" fillId="36" borderId="41" xfId="57" applyFont="1" applyFill="1" applyBorder="1" applyAlignment="1">
      <alignment horizontal="center" vertical="center"/>
      <protection/>
    </xf>
    <xf numFmtId="0" fontId="24" fillId="0" borderId="40" xfId="57" applyFont="1" applyBorder="1" applyAlignment="1">
      <alignment horizontal="center" vertical="center"/>
      <protection/>
    </xf>
    <xf numFmtId="0" fontId="24" fillId="0" borderId="31" xfId="57" applyFont="1" applyBorder="1" applyAlignment="1">
      <alignment horizontal="center" vertical="center"/>
      <protection/>
    </xf>
    <xf numFmtId="0" fontId="24" fillId="0" borderId="41" xfId="57" applyFont="1" applyBorder="1" applyAlignment="1">
      <alignment horizontal="center" vertical="center"/>
      <protection/>
    </xf>
    <xf numFmtId="0" fontId="24" fillId="0" borderId="45" xfId="57" applyFont="1" applyBorder="1" applyAlignment="1">
      <alignment horizontal="center" vertical="center"/>
      <protection/>
    </xf>
    <xf numFmtId="0" fontId="24" fillId="0" borderId="32" xfId="57" applyFont="1" applyBorder="1" applyAlignment="1">
      <alignment horizontal="center" vertical="center"/>
      <protection/>
    </xf>
    <xf numFmtId="0" fontId="24" fillId="0" borderId="46" xfId="57" applyFont="1" applyBorder="1" applyAlignment="1">
      <alignment horizontal="center" vertical="center"/>
      <protection/>
    </xf>
    <xf numFmtId="0" fontId="24" fillId="0" borderId="49" xfId="57" applyFont="1" applyBorder="1" applyAlignment="1">
      <alignment horizontal="center" vertical="center"/>
      <protection/>
    </xf>
    <xf numFmtId="0" fontId="24" fillId="0" borderId="33" xfId="57" applyFont="1" applyBorder="1" applyAlignment="1">
      <alignment horizontal="center" vertical="center"/>
      <protection/>
    </xf>
    <xf numFmtId="0" fontId="24" fillId="0" borderId="50" xfId="57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40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right" vertical="center"/>
    </xf>
    <xf numFmtId="0" fontId="24" fillId="0" borderId="40" xfId="55" applyFont="1" applyFill="1" applyBorder="1" applyAlignment="1">
      <alignment horizontal="right" vertical="center"/>
      <protection/>
    </xf>
    <xf numFmtId="0" fontId="24" fillId="0" borderId="31" xfId="55" applyFont="1" applyFill="1" applyBorder="1" applyAlignment="1">
      <alignment horizontal="right" vertical="center"/>
      <protection/>
    </xf>
    <xf numFmtId="0" fontId="24" fillId="0" borderId="41" xfId="55" applyFont="1" applyFill="1" applyBorder="1" applyAlignment="1">
      <alignment horizontal="right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40" xfId="57" applyFont="1" applyFill="1" applyBorder="1" applyAlignment="1">
      <alignment horizontal="center" vertical="center"/>
      <protection/>
    </xf>
    <xf numFmtId="0" fontId="24" fillId="0" borderId="31" xfId="57" applyFont="1" applyFill="1" applyBorder="1" applyAlignment="1">
      <alignment horizontal="center" vertical="center"/>
      <protection/>
    </xf>
    <xf numFmtId="0" fontId="24" fillId="0" borderId="41" xfId="57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right" vertical="center"/>
      <protection/>
    </xf>
    <xf numFmtId="0" fontId="34" fillId="0" borderId="10" xfId="59" applyFont="1" applyFill="1" applyBorder="1" applyAlignment="1">
      <alignment horizontal="center" vertical="center"/>
      <protection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169" fontId="25" fillId="0" borderId="10" xfId="77" applyFont="1" applyFill="1" applyBorder="1" applyAlignment="1">
      <alignment horizontal="center" vertical="center"/>
    </xf>
    <xf numFmtId="0" fontId="27" fillId="0" borderId="1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169" fontId="25" fillId="0" borderId="10" xfId="75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right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169" fontId="25" fillId="0" borderId="10" xfId="75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right" vertical="center"/>
    </xf>
    <xf numFmtId="0" fontId="24" fillId="35" borderId="10" xfId="0" applyFont="1" applyFill="1" applyBorder="1" applyAlignment="1">
      <alignment horizontal="center" vertical="center" wrapText="1"/>
    </xf>
    <xf numFmtId="0" fontId="69" fillId="8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7" fillId="38" borderId="10" xfId="55" applyFont="1" applyFill="1" applyBorder="1" applyAlignment="1">
      <alignment horizontal="center" vertical="center" wrapText="1"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7" fillId="36" borderId="40" xfId="57" applyFont="1" applyFill="1" applyBorder="1" applyAlignment="1">
      <alignment horizontal="center" vertical="center"/>
      <protection/>
    </xf>
    <xf numFmtId="0" fontId="27" fillId="36" borderId="31" xfId="57" applyFont="1" applyFill="1" applyBorder="1" applyAlignment="1">
      <alignment horizontal="center" vertical="center"/>
      <protection/>
    </xf>
    <xf numFmtId="0" fontId="27" fillId="36" borderId="41" xfId="57" applyFont="1" applyFill="1" applyBorder="1" applyAlignment="1">
      <alignment horizontal="center" vertical="center"/>
      <protection/>
    </xf>
    <xf numFmtId="0" fontId="27" fillId="36" borderId="10" xfId="55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36" fillId="0" borderId="10" xfId="54" applyFont="1" applyFill="1" applyBorder="1" applyAlignment="1">
      <alignment horizontal="center" vertical="center"/>
      <protection/>
    </xf>
    <xf numFmtId="0" fontId="27" fillId="0" borderId="4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0" fontId="27" fillId="0" borderId="40" xfId="58" applyFont="1" applyFill="1" applyBorder="1" applyAlignment="1">
      <alignment horizontal="center" vertical="center"/>
      <protection/>
    </xf>
    <xf numFmtId="0" fontId="27" fillId="0" borderId="31" xfId="58" applyFont="1" applyFill="1" applyBorder="1" applyAlignment="1">
      <alignment horizontal="center" vertical="center"/>
      <protection/>
    </xf>
    <xf numFmtId="0" fontId="27" fillId="0" borderId="41" xfId="58" applyFont="1" applyFill="1" applyBorder="1" applyAlignment="1">
      <alignment horizontal="center" vertical="center"/>
      <protection/>
    </xf>
    <xf numFmtId="0" fontId="24" fillId="0" borderId="40" xfId="58" applyFont="1" applyFill="1" applyBorder="1" applyAlignment="1">
      <alignment horizontal="right" vertical="center"/>
      <protection/>
    </xf>
    <xf numFmtId="0" fontId="24" fillId="0" borderId="31" xfId="58" applyFont="1" applyFill="1" applyBorder="1" applyAlignment="1">
      <alignment horizontal="right" vertical="center"/>
      <protection/>
    </xf>
    <xf numFmtId="0" fontId="24" fillId="0" borderId="41" xfId="58" applyFont="1" applyFill="1" applyBorder="1" applyAlignment="1">
      <alignment horizontal="right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0" fillId="0" borderId="24" xfId="55" applyFont="1" applyBorder="1" applyAlignment="1">
      <alignment horizontal="center"/>
      <protection/>
    </xf>
    <xf numFmtId="0" fontId="80" fillId="0" borderId="25" xfId="55" applyFont="1" applyBorder="1" applyAlignment="1">
      <alignment horizontal="center"/>
      <protection/>
    </xf>
    <xf numFmtId="0" fontId="80" fillId="0" borderId="15" xfId="55" applyFont="1" applyBorder="1" applyAlignment="1">
      <alignment horizontal="center"/>
      <protection/>
    </xf>
    <xf numFmtId="0" fontId="1" fillId="0" borderId="0" xfId="0" applyFont="1" applyFill="1" applyAlignment="1">
      <alignment horizontal="left" vertic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80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rmal 25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 [0]" xfId="64"/>
    <cellStyle name="Separador de milhares 2" xfId="65"/>
    <cellStyle name="Separador de milhares 3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Vírgula 2" xfId="76"/>
    <cellStyle name="Vírgula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C2:I51"/>
  <sheetViews>
    <sheetView tabSelected="1" view="pageBreakPreview" zoomScaleSheetLayoutView="100" zoomScalePageLayoutView="0" workbookViewId="0" topLeftCell="A1">
      <selection activeCell="C9" sqref="C9:H9"/>
    </sheetView>
  </sheetViews>
  <sheetFormatPr defaultColWidth="9.140625" defaultRowHeight="12.75"/>
  <cols>
    <col min="3" max="3" width="20.7109375" style="5" customWidth="1"/>
    <col min="4" max="4" width="18.7109375" style="6" customWidth="1"/>
    <col min="5" max="8" width="14.7109375" style="6" customWidth="1"/>
    <col min="9" max="9" width="11.421875" style="2" customWidth="1"/>
  </cols>
  <sheetData>
    <row r="2" spans="3:8" ht="12.75">
      <c r="C2" s="275"/>
      <c r="D2" s="275"/>
      <c r="E2" s="275"/>
      <c r="F2" s="275"/>
      <c r="G2" s="275"/>
      <c r="H2" s="275"/>
    </row>
    <row r="3" spans="3:8" ht="12.75">
      <c r="C3" s="275"/>
      <c r="D3" s="275"/>
      <c r="E3" s="275"/>
      <c r="F3" s="275"/>
      <c r="G3" s="275"/>
      <c r="H3" s="275"/>
    </row>
    <row r="4" spans="3:9" s="24" customFormat="1" ht="15" customHeight="1">
      <c r="C4" s="276" t="s">
        <v>74</v>
      </c>
      <c r="D4" s="276"/>
      <c r="E4" s="276"/>
      <c r="F4" s="276"/>
      <c r="G4" s="276"/>
      <c r="H4" s="276"/>
      <c r="I4" s="9"/>
    </row>
    <row r="5" spans="3:9" s="24" customFormat="1" ht="15" customHeight="1">
      <c r="C5" s="276" t="s">
        <v>75</v>
      </c>
      <c r="D5" s="276"/>
      <c r="E5" s="276"/>
      <c r="F5" s="276"/>
      <c r="G5" s="276"/>
      <c r="H5" s="276"/>
      <c r="I5" s="9"/>
    </row>
    <row r="6" spans="3:9" s="24" customFormat="1" ht="15" customHeight="1">
      <c r="C6" s="271" t="s">
        <v>543</v>
      </c>
      <c r="D6" s="271"/>
      <c r="E6" s="271"/>
      <c r="F6" s="271"/>
      <c r="G6" s="271"/>
      <c r="H6" s="271"/>
      <c r="I6" s="9"/>
    </row>
    <row r="7" spans="3:9" s="24" customFormat="1" ht="15" customHeight="1">
      <c r="C7" s="13"/>
      <c r="D7" s="13"/>
      <c r="E7" s="13"/>
      <c r="F7" s="13"/>
      <c r="G7" s="18"/>
      <c r="H7" s="23"/>
      <c r="I7" s="19"/>
    </row>
    <row r="8" spans="3:9" s="24" customFormat="1" ht="15" customHeight="1" thickBot="1">
      <c r="C8" s="13"/>
      <c r="D8" s="13"/>
      <c r="E8" s="13"/>
      <c r="F8" s="13"/>
      <c r="G8" s="18"/>
      <c r="H8" s="23"/>
      <c r="I8" s="19"/>
    </row>
    <row r="9" spans="3:9" s="24" customFormat="1" ht="19.5" thickBot="1">
      <c r="C9" s="272" t="s">
        <v>447</v>
      </c>
      <c r="D9" s="273"/>
      <c r="E9" s="273"/>
      <c r="F9" s="273"/>
      <c r="G9" s="273"/>
      <c r="H9" s="274"/>
      <c r="I9" s="103"/>
    </row>
    <row r="10" spans="3:9" s="24" customFormat="1" ht="15" customHeight="1">
      <c r="C10" s="27"/>
      <c r="D10" s="23"/>
      <c r="E10" s="23"/>
      <c r="F10" s="23"/>
      <c r="G10" s="23"/>
      <c r="H10" s="23"/>
      <c r="I10" s="103"/>
    </row>
    <row r="11" spans="3:9" s="24" customFormat="1" ht="15" customHeight="1">
      <c r="C11" s="27"/>
      <c r="D11" s="23"/>
      <c r="E11" s="23"/>
      <c r="F11" s="23"/>
      <c r="G11" s="23"/>
      <c r="H11" s="23"/>
      <c r="I11" s="103"/>
    </row>
    <row r="12" spans="3:9" s="24" customFormat="1" ht="12.75">
      <c r="C12" s="263" t="s">
        <v>455</v>
      </c>
      <c r="D12" s="263"/>
      <c r="E12" s="263"/>
      <c r="F12" s="263"/>
      <c r="G12" s="263"/>
      <c r="H12" s="263"/>
      <c r="I12" s="103"/>
    </row>
    <row r="13" spans="3:9" s="24" customFormat="1" ht="25.5">
      <c r="C13" s="264" t="s">
        <v>128</v>
      </c>
      <c r="D13" s="265"/>
      <c r="E13" s="178" t="s">
        <v>448</v>
      </c>
      <c r="F13" s="178" t="s">
        <v>449</v>
      </c>
      <c r="G13" s="157" t="s">
        <v>450</v>
      </c>
      <c r="H13" s="178" t="s">
        <v>0</v>
      </c>
      <c r="I13" s="103"/>
    </row>
    <row r="14" spans="3:9" s="24" customFormat="1" ht="15" customHeight="1">
      <c r="C14" s="266" t="s">
        <v>451</v>
      </c>
      <c r="D14" s="267"/>
      <c r="E14" s="28">
        <v>0.5</v>
      </c>
      <c r="F14" s="28">
        <v>22</v>
      </c>
      <c r="G14" s="28">
        <v>4</v>
      </c>
      <c r="H14" s="156">
        <f>E14*F14*G14</f>
        <v>44</v>
      </c>
      <c r="I14" s="103"/>
    </row>
    <row r="15" spans="3:9" s="24" customFormat="1" ht="15" customHeight="1">
      <c r="C15" s="266" t="s">
        <v>452</v>
      </c>
      <c r="D15" s="267"/>
      <c r="E15" s="28"/>
      <c r="F15" s="28"/>
      <c r="G15" s="28">
        <v>4</v>
      </c>
      <c r="H15" s="156">
        <f>G15</f>
        <v>4</v>
      </c>
      <c r="I15" s="29"/>
    </row>
    <row r="16" spans="3:9" s="24" customFormat="1" ht="15" customHeight="1">
      <c r="C16" s="268" t="s">
        <v>453</v>
      </c>
      <c r="D16" s="268"/>
      <c r="E16" s="268"/>
      <c r="F16" s="268"/>
      <c r="G16" s="268"/>
      <c r="H16" s="268"/>
      <c r="I16" s="29"/>
    </row>
    <row r="17" s="24" customFormat="1" ht="15" customHeight="1">
      <c r="I17" s="29"/>
    </row>
    <row r="18" s="24" customFormat="1" ht="15" customHeight="1">
      <c r="I18" s="29"/>
    </row>
    <row r="19" s="24" customFormat="1" ht="15" customHeight="1">
      <c r="I19" s="29"/>
    </row>
    <row r="20" s="24" customFormat="1" ht="15" customHeight="1">
      <c r="I20" s="29"/>
    </row>
    <row r="21" s="24" customFormat="1" ht="15" customHeight="1">
      <c r="I21" s="29"/>
    </row>
    <row r="22" spans="3:9" s="24" customFormat="1" ht="15" customHeight="1">
      <c r="C22" s="269" t="s">
        <v>456</v>
      </c>
      <c r="D22" s="269"/>
      <c r="E22" s="269"/>
      <c r="F22" s="269"/>
      <c r="G22" s="269"/>
      <c r="H22" s="269"/>
      <c r="I22" s="29"/>
    </row>
    <row r="23" s="24" customFormat="1" ht="15" customHeight="1">
      <c r="I23" s="29"/>
    </row>
    <row r="24" s="24" customFormat="1" ht="15" customHeight="1">
      <c r="I24" s="29"/>
    </row>
    <row r="25" spans="4:9" s="24" customFormat="1" ht="15" customHeight="1">
      <c r="D25" s="264" t="s">
        <v>457</v>
      </c>
      <c r="E25" s="270"/>
      <c r="F25" s="265"/>
      <c r="H25" s="6"/>
      <c r="I25" s="29"/>
    </row>
    <row r="26" spans="4:9" s="24" customFormat="1" ht="15" customHeight="1">
      <c r="D26" s="179" t="s">
        <v>57</v>
      </c>
      <c r="E26" s="179" t="s">
        <v>58</v>
      </c>
      <c r="F26" s="179" t="s">
        <v>0</v>
      </c>
      <c r="H26" s="6"/>
      <c r="I26" s="29"/>
    </row>
    <row r="27" spans="4:9" s="24" customFormat="1" ht="15" customHeight="1">
      <c r="D27" s="28">
        <v>4</v>
      </c>
      <c r="E27" s="28">
        <v>2.5</v>
      </c>
      <c r="F27" s="156">
        <f>D27*E27</f>
        <v>10</v>
      </c>
      <c r="H27" s="6"/>
      <c r="I27" s="29"/>
    </row>
    <row r="28" spans="4:9" s="24" customFormat="1" ht="15" customHeight="1">
      <c r="D28" s="27"/>
      <c r="E28" s="23"/>
      <c r="F28" s="30"/>
      <c r="G28" s="30"/>
      <c r="H28" s="23"/>
      <c r="I28" s="29"/>
    </row>
    <row r="29" spans="4:9" s="24" customFormat="1" ht="15" customHeight="1">
      <c r="D29" s="27"/>
      <c r="E29" s="23"/>
      <c r="F29" s="23"/>
      <c r="G29" s="23"/>
      <c r="H29" s="23"/>
      <c r="I29" s="29"/>
    </row>
    <row r="30" spans="4:9" s="24" customFormat="1" ht="15" customHeight="1">
      <c r="D30" s="264" t="s">
        <v>458</v>
      </c>
      <c r="E30" s="270"/>
      <c r="F30" s="265"/>
      <c r="H30" s="6"/>
      <c r="I30" s="29"/>
    </row>
    <row r="31" spans="4:9" s="24" customFormat="1" ht="15" customHeight="1">
      <c r="D31" s="179" t="s">
        <v>57</v>
      </c>
      <c r="E31" s="179" t="s">
        <v>59</v>
      </c>
      <c r="F31" s="179" t="s">
        <v>0</v>
      </c>
      <c r="H31" s="6"/>
      <c r="I31" s="29"/>
    </row>
    <row r="32" spans="4:9" s="24" customFormat="1" ht="15" customHeight="1">
      <c r="D32" s="28">
        <v>4</v>
      </c>
      <c r="E32" s="28">
        <v>2.5</v>
      </c>
      <c r="F32" s="156">
        <f>D32*E32</f>
        <v>10</v>
      </c>
      <c r="H32" s="6"/>
      <c r="I32" s="29"/>
    </row>
    <row r="33" spans="4:9" s="24" customFormat="1" ht="15" customHeight="1">
      <c r="D33" s="27"/>
      <c r="E33" s="23"/>
      <c r="F33" s="30"/>
      <c r="G33" s="30"/>
      <c r="H33" s="23"/>
      <c r="I33" s="29"/>
    </row>
    <row r="34" spans="4:9" s="24" customFormat="1" ht="15" customHeight="1">
      <c r="D34" s="27"/>
      <c r="E34" s="23"/>
      <c r="F34" s="23"/>
      <c r="G34" s="23"/>
      <c r="H34" s="23"/>
      <c r="I34" s="29"/>
    </row>
    <row r="35" spans="4:9" s="24" customFormat="1" ht="15" customHeight="1">
      <c r="D35" s="264" t="s">
        <v>459</v>
      </c>
      <c r="E35" s="270"/>
      <c r="F35" s="265"/>
      <c r="H35" s="6"/>
      <c r="I35" s="29"/>
    </row>
    <row r="36" spans="4:9" s="24" customFormat="1" ht="15" customHeight="1">
      <c r="D36" s="179" t="s">
        <v>57</v>
      </c>
      <c r="E36" s="179" t="s">
        <v>59</v>
      </c>
      <c r="F36" s="179" t="s">
        <v>0</v>
      </c>
      <c r="H36" s="6"/>
      <c r="I36" s="29"/>
    </row>
    <row r="37" spans="4:9" s="24" customFormat="1" ht="15" customHeight="1">
      <c r="D37" s="28">
        <v>2.5</v>
      </c>
      <c r="E37" s="28">
        <v>2</v>
      </c>
      <c r="F37" s="156">
        <f>D37*E37</f>
        <v>5</v>
      </c>
      <c r="H37" s="6"/>
      <c r="I37" s="29"/>
    </row>
    <row r="38" spans="4:9" s="24" customFormat="1" ht="15" customHeight="1">
      <c r="D38" s="27"/>
      <c r="E38" s="23"/>
      <c r="F38" s="30"/>
      <c r="G38" s="30"/>
      <c r="H38" s="23"/>
      <c r="I38" s="29"/>
    </row>
    <row r="39" spans="4:9" s="24" customFormat="1" ht="15" customHeight="1">
      <c r="D39" s="27"/>
      <c r="E39" s="23"/>
      <c r="F39" s="23"/>
      <c r="G39" s="23"/>
      <c r="H39" s="23"/>
      <c r="I39" s="29"/>
    </row>
    <row r="40" spans="4:8" s="24" customFormat="1" ht="15" customHeight="1">
      <c r="D40" s="263" t="s">
        <v>483</v>
      </c>
      <c r="E40" s="263"/>
      <c r="G40" s="6"/>
      <c r="H40" s="29"/>
    </row>
    <row r="41" spans="4:8" s="24" customFormat="1" ht="15" customHeight="1">
      <c r="D41" s="217" t="s">
        <v>484</v>
      </c>
      <c r="E41" s="217" t="s">
        <v>485</v>
      </c>
      <c r="G41" s="6"/>
      <c r="H41" s="29"/>
    </row>
    <row r="42" spans="4:8" s="24" customFormat="1" ht="15" customHeight="1">
      <c r="D42" s="156">
        <v>1</v>
      </c>
      <c r="E42" s="156">
        <v>1</v>
      </c>
      <c r="G42" s="6"/>
      <c r="H42" s="29"/>
    </row>
    <row r="43" spans="3:9" s="24" customFormat="1" ht="15" customHeight="1">
      <c r="C43" s="27"/>
      <c r="D43" s="23"/>
      <c r="E43" s="30"/>
      <c r="F43" s="30"/>
      <c r="G43" s="30"/>
      <c r="H43" s="23"/>
      <c r="I43" s="29"/>
    </row>
    <row r="44" spans="3:9" s="24" customFormat="1" ht="15" customHeight="1">
      <c r="C44" s="27"/>
      <c r="D44" s="23"/>
      <c r="E44" s="23"/>
      <c r="F44" s="23"/>
      <c r="G44" s="23"/>
      <c r="H44" s="23"/>
      <c r="I44" s="29"/>
    </row>
    <row r="45" spans="7:9" s="24" customFormat="1" ht="15" customHeight="1">
      <c r="G45" s="15"/>
      <c r="H45" s="15"/>
      <c r="I45" s="29"/>
    </row>
    <row r="46" spans="7:9" s="24" customFormat="1" ht="15" customHeight="1">
      <c r="G46" s="15"/>
      <c r="H46" s="26"/>
      <c r="I46" s="29"/>
    </row>
    <row r="47" spans="7:9" s="24" customFormat="1" ht="15" customHeight="1">
      <c r="G47" s="6"/>
      <c r="H47" s="6"/>
      <c r="I47" s="103"/>
    </row>
    <row r="48" spans="7:9" s="24" customFormat="1" ht="15" customHeight="1">
      <c r="G48" s="6"/>
      <c r="H48" s="6"/>
      <c r="I48" s="103"/>
    </row>
    <row r="49" spans="7:9" s="24" customFormat="1" ht="15" customHeight="1">
      <c r="G49" s="6"/>
      <c r="H49" s="6"/>
      <c r="I49" s="103"/>
    </row>
    <row r="50" spans="7:9" s="17" customFormat="1" ht="15" customHeight="1">
      <c r="G50" s="6"/>
      <c r="H50" s="6"/>
      <c r="I50" s="14"/>
    </row>
    <row r="51" spans="7:9" s="17" customFormat="1" ht="15" customHeight="1">
      <c r="G51" s="6"/>
      <c r="H51" s="6"/>
      <c r="I51" s="1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5">
    <mergeCell ref="C6:H6"/>
    <mergeCell ref="C9:H9"/>
    <mergeCell ref="C2:H3"/>
    <mergeCell ref="C4:H4"/>
    <mergeCell ref="C5:H5"/>
    <mergeCell ref="C12:H12"/>
    <mergeCell ref="D40:E40"/>
    <mergeCell ref="C13:D13"/>
    <mergeCell ref="C14:D14"/>
    <mergeCell ref="C15:D15"/>
    <mergeCell ref="C16:H16"/>
    <mergeCell ref="C22:H22"/>
    <mergeCell ref="D25:F25"/>
    <mergeCell ref="D30:F30"/>
    <mergeCell ref="D35:F35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C2:AV133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7.7109375" style="7" customWidth="1"/>
    <col min="10" max="10" width="8.7109375" style="182" customWidth="1"/>
    <col min="11" max="11" width="7.7109375" style="182" customWidth="1"/>
    <col min="12" max="12" width="8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3" width="12.7109375" style="0" customWidth="1"/>
    <col min="34" max="34" width="15.57421875" style="0" customWidth="1"/>
    <col min="35" max="35" width="18.421875" style="0" bestFit="1" customWidth="1"/>
    <col min="36" max="36" width="12.7109375" style="0" customWidth="1"/>
    <col min="37" max="37" width="10.00390625" style="0" bestFit="1" customWidth="1"/>
    <col min="40" max="40" width="27.140625" style="0" bestFit="1" customWidth="1"/>
    <col min="41" max="48" width="11.00390625" style="0" customWidth="1"/>
  </cols>
  <sheetData>
    <row r="2" spans="3:8" ht="12.75">
      <c r="C2" s="308"/>
      <c r="D2" s="308"/>
      <c r="E2" s="308"/>
      <c r="F2" s="308"/>
      <c r="G2" s="308"/>
      <c r="H2" s="308"/>
    </row>
    <row r="3" spans="3:8" ht="13.5" thickBot="1">
      <c r="C3" s="308"/>
      <c r="D3" s="308"/>
      <c r="E3" s="308"/>
      <c r="F3" s="308"/>
      <c r="G3" s="308"/>
      <c r="H3" s="308"/>
    </row>
    <row r="4" spans="3:18" s="24" customFormat="1" ht="19.5" thickBot="1">
      <c r="C4" s="272" t="s">
        <v>444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4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8" s="24" customFormat="1" ht="15" customHeight="1">
      <c r="C7" s="269" t="s">
        <v>479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U7" s="269" t="s">
        <v>490</v>
      </c>
      <c r="V7" s="269"/>
      <c r="W7" s="269"/>
      <c r="X7" s="269"/>
      <c r="Y7" s="269"/>
      <c r="Z7" s="269"/>
      <c r="AA7" s="269"/>
      <c r="AB7" s="159"/>
      <c r="AC7" s="159"/>
      <c r="AD7" s="159"/>
      <c r="AE7" s="269" t="s">
        <v>496</v>
      </c>
      <c r="AF7" s="269"/>
      <c r="AG7" s="269"/>
      <c r="AH7" s="269"/>
      <c r="AI7" s="269"/>
      <c r="AJ7" s="269"/>
      <c r="AK7" s="159"/>
      <c r="AN7" s="269" t="s">
        <v>498</v>
      </c>
      <c r="AO7" s="269"/>
      <c r="AP7" s="269"/>
      <c r="AQ7" s="269"/>
      <c r="AR7" s="269"/>
      <c r="AS7" s="269"/>
      <c r="AT7" s="269"/>
      <c r="AU7" s="269"/>
      <c r="AV7" s="269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3:48" s="24" customFormat="1" ht="15" customHeight="1">
      <c r="C9" s="263" t="s">
        <v>480</v>
      </c>
      <c r="D9" s="263"/>
      <c r="E9" s="263"/>
      <c r="F9" s="263"/>
      <c r="G9" s="263"/>
      <c r="H9" s="218"/>
      <c r="I9" s="263" t="s">
        <v>481</v>
      </c>
      <c r="J9" s="263"/>
      <c r="K9" s="263"/>
      <c r="L9" s="263"/>
      <c r="M9" s="263"/>
      <c r="O9" s="264" t="s">
        <v>454</v>
      </c>
      <c r="P9" s="270"/>
      <c r="Q9" s="270"/>
      <c r="R9" s="265"/>
      <c r="U9" s="283" t="s">
        <v>491</v>
      </c>
      <c r="V9" s="283"/>
      <c r="W9" s="283"/>
      <c r="X9" s="283"/>
      <c r="Y9" s="283"/>
      <c r="Z9" s="283"/>
      <c r="AA9" s="283"/>
      <c r="AE9" s="339" t="s">
        <v>206</v>
      </c>
      <c r="AF9" s="339"/>
      <c r="AG9" s="339"/>
      <c r="AH9" s="339"/>
      <c r="AI9" s="339"/>
      <c r="AJ9" s="159"/>
      <c r="AN9" s="351" t="s">
        <v>7</v>
      </c>
      <c r="AO9" s="238" t="s">
        <v>4</v>
      </c>
      <c r="AP9" s="348" t="s">
        <v>8</v>
      </c>
      <c r="AQ9" s="348" t="s">
        <v>442</v>
      </c>
      <c r="AR9" s="348" t="s">
        <v>234</v>
      </c>
      <c r="AS9" s="348" t="s">
        <v>58</v>
      </c>
      <c r="AT9" s="348" t="s">
        <v>242</v>
      </c>
      <c r="AU9" s="349" t="s">
        <v>25</v>
      </c>
      <c r="AV9" s="350" t="s">
        <v>26</v>
      </c>
    </row>
    <row r="10" spans="3:48" s="24" customFormat="1" ht="15" customHeight="1">
      <c r="C10" s="263" t="s">
        <v>117</v>
      </c>
      <c r="D10" s="263"/>
      <c r="E10" s="217" t="s">
        <v>57</v>
      </c>
      <c r="F10" s="217" t="s">
        <v>59</v>
      </c>
      <c r="G10" s="217" t="s">
        <v>0</v>
      </c>
      <c r="H10" s="218"/>
      <c r="I10" s="263" t="s">
        <v>117</v>
      </c>
      <c r="J10" s="263"/>
      <c r="K10" s="262" t="s">
        <v>57</v>
      </c>
      <c r="L10" s="262" t="s">
        <v>59</v>
      </c>
      <c r="M10" s="262" t="s">
        <v>0</v>
      </c>
      <c r="O10" s="263" t="s">
        <v>117</v>
      </c>
      <c r="P10" s="263"/>
      <c r="Q10" s="217" t="s">
        <v>57</v>
      </c>
      <c r="R10" s="217" t="s">
        <v>58</v>
      </c>
      <c r="U10" s="263" t="s">
        <v>56</v>
      </c>
      <c r="V10" s="334" t="s">
        <v>7</v>
      </c>
      <c r="W10" s="335"/>
      <c r="X10" s="263" t="s">
        <v>57</v>
      </c>
      <c r="Y10" s="263" t="s">
        <v>58</v>
      </c>
      <c r="Z10" s="328" t="s">
        <v>63</v>
      </c>
      <c r="AA10" s="263" t="s">
        <v>443</v>
      </c>
      <c r="AE10" s="328" t="s">
        <v>7</v>
      </c>
      <c r="AF10" s="328" t="s">
        <v>8</v>
      </c>
      <c r="AG10" s="328" t="s">
        <v>58</v>
      </c>
      <c r="AH10" s="328" t="s">
        <v>63</v>
      </c>
      <c r="AI10" s="328" t="s">
        <v>55</v>
      </c>
      <c r="AJ10" s="49"/>
      <c r="AN10" s="351"/>
      <c r="AO10" s="348" t="s">
        <v>9</v>
      </c>
      <c r="AP10" s="348"/>
      <c r="AQ10" s="348"/>
      <c r="AR10" s="348"/>
      <c r="AS10" s="348" t="s">
        <v>58</v>
      </c>
      <c r="AT10" s="348"/>
      <c r="AU10" s="349"/>
      <c r="AV10" s="350"/>
    </row>
    <row r="11" spans="3:48" s="24" customFormat="1" ht="15" customHeight="1">
      <c r="C11" s="282" t="s">
        <v>205</v>
      </c>
      <c r="D11" s="282"/>
      <c r="E11" s="28">
        <v>6.55</v>
      </c>
      <c r="F11" s="28">
        <f>5.3+1.15</f>
        <v>6.449999999999999</v>
      </c>
      <c r="G11" s="156">
        <f>ROUND(((E11+2)*2)+((F11+2)*2),2)</f>
        <v>34</v>
      </c>
      <c r="H11" s="218"/>
      <c r="I11" s="282" t="s">
        <v>205</v>
      </c>
      <c r="J11" s="282"/>
      <c r="K11" s="28">
        <v>6.55</v>
      </c>
      <c r="L11" s="28">
        <f>5.3+1.15</f>
        <v>6.449999999999999</v>
      </c>
      <c r="M11" s="156">
        <f>ROUND((K11+2)*(L11+2),2)</f>
        <v>72.25</v>
      </c>
      <c r="O11" s="282" t="s">
        <v>205</v>
      </c>
      <c r="P11" s="282"/>
      <c r="Q11" s="28">
        <v>5</v>
      </c>
      <c r="R11" s="28">
        <v>2.2</v>
      </c>
      <c r="U11" s="263"/>
      <c r="V11" s="336"/>
      <c r="W11" s="337"/>
      <c r="X11" s="263"/>
      <c r="Y11" s="263"/>
      <c r="Z11" s="328"/>
      <c r="AA11" s="263"/>
      <c r="AE11" s="328"/>
      <c r="AF11" s="328"/>
      <c r="AG11" s="328"/>
      <c r="AH11" s="328"/>
      <c r="AI11" s="328"/>
      <c r="AJ11" s="49"/>
      <c r="AN11" s="351"/>
      <c r="AO11" s="348"/>
      <c r="AP11" s="348"/>
      <c r="AQ11" s="348"/>
      <c r="AR11" s="348"/>
      <c r="AS11" s="348"/>
      <c r="AT11" s="348"/>
      <c r="AU11" s="349"/>
      <c r="AV11" s="350"/>
    </row>
    <row r="12" spans="3:48" s="24" customFormat="1" ht="15" customHeight="1">
      <c r="C12" s="268" t="s">
        <v>539</v>
      </c>
      <c r="D12" s="268"/>
      <c r="E12" s="268"/>
      <c r="F12" s="268"/>
      <c r="G12" s="268"/>
      <c r="H12" s="218"/>
      <c r="I12" s="268" t="s">
        <v>542</v>
      </c>
      <c r="J12" s="268"/>
      <c r="K12" s="268"/>
      <c r="L12" s="268"/>
      <c r="M12" s="268"/>
      <c r="O12" s="322" t="s">
        <v>541</v>
      </c>
      <c r="P12" s="323"/>
      <c r="Q12" s="324"/>
      <c r="R12" s="156">
        <f>Q11*R11</f>
        <v>11</v>
      </c>
      <c r="U12" s="158" t="s">
        <v>43</v>
      </c>
      <c r="V12" s="293" t="s">
        <v>228</v>
      </c>
      <c r="W12" s="294"/>
      <c r="X12" s="28">
        <v>6.55</v>
      </c>
      <c r="Y12" s="28">
        <v>4.37</v>
      </c>
      <c r="Z12" s="28">
        <f>1.95*3</f>
        <v>5.85</v>
      </c>
      <c r="AA12" s="28">
        <f>X12*Y12-Z12</f>
        <v>22.7735</v>
      </c>
      <c r="AE12" s="28" t="s">
        <v>76</v>
      </c>
      <c r="AF12" s="28">
        <v>18.6</v>
      </c>
      <c r="AG12" s="28">
        <v>3</v>
      </c>
      <c r="AH12" s="28">
        <f>1.5*1+1.2*2.1</f>
        <v>4.02</v>
      </c>
      <c r="AI12" s="28">
        <f>AF12*AG12-AH12</f>
        <v>51.78</v>
      </c>
      <c r="AJ12" s="49"/>
      <c r="AN12" s="28" t="s">
        <v>76</v>
      </c>
      <c r="AO12" s="71">
        <v>21.5</v>
      </c>
      <c r="AP12" s="71">
        <v>18.6</v>
      </c>
      <c r="AQ12" s="55">
        <f>1.5*1+1.2*2.1</f>
        <v>4.02</v>
      </c>
      <c r="AR12" s="55">
        <f>2*2.1</f>
        <v>4.2</v>
      </c>
      <c r="AS12" s="55">
        <v>3</v>
      </c>
      <c r="AT12" s="55">
        <f>AQ12+AR12</f>
        <v>8.219999999999999</v>
      </c>
      <c r="AU12" s="167">
        <f>(AP12*AS12)-AT12</f>
        <v>47.580000000000005</v>
      </c>
      <c r="AV12" s="168">
        <v>0</v>
      </c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R13" s="218"/>
      <c r="U13" s="158" t="s">
        <v>43</v>
      </c>
      <c r="V13" s="293" t="s">
        <v>77</v>
      </c>
      <c r="W13" s="294"/>
      <c r="X13" s="28">
        <v>1.95</v>
      </c>
      <c r="Y13" s="28">
        <v>3</v>
      </c>
      <c r="Z13" s="28">
        <f>1.6*2.1</f>
        <v>3.3600000000000003</v>
      </c>
      <c r="AA13" s="28">
        <f aca="true" t="shared" si="0" ref="AA13:AA19">X13*Y13-Z13</f>
        <v>2.4899999999999993</v>
      </c>
      <c r="AE13" s="28" t="s">
        <v>77</v>
      </c>
      <c r="AF13" s="28">
        <v>4.05</v>
      </c>
      <c r="AG13" s="28">
        <v>3</v>
      </c>
      <c r="AH13" s="28">
        <f>1.6*2.1+1.95*3</f>
        <v>9.21</v>
      </c>
      <c r="AI13" s="28">
        <f>AF13*AG13-AH13</f>
        <v>2.9399999999999977</v>
      </c>
      <c r="AJ13" s="49"/>
      <c r="AN13" s="28" t="s">
        <v>77</v>
      </c>
      <c r="AO13" s="71">
        <v>4.1</v>
      </c>
      <c r="AP13" s="71">
        <f>1.95+2.1+1.95+2.1</f>
        <v>8.1</v>
      </c>
      <c r="AQ13" s="55">
        <f>1.6*2.1+1.95*3</f>
        <v>9.21</v>
      </c>
      <c r="AR13" s="55">
        <v>0</v>
      </c>
      <c r="AS13" s="55">
        <v>3</v>
      </c>
      <c r="AT13" s="55">
        <f>AQ13+AR13</f>
        <v>9.21</v>
      </c>
      <c r="AU13" s="167">
        <f>(AP13*AS13)-AT13</f>
        <v>15.089999999999996</v>
      </c>
      <c r="AV13" s="168">
        <v>0</v>
      </c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R14" s="218"/>
      <c r="U14" s="158" t="s">
        <v>42</v>
      </c>
      <c r="V14" s="293" t="s">
        <v>229</v>
      </c>
      <c r="W14" s="294"/>
      <c r="X14" s="28">
        <v>5</v>
      </c>
      <c r="Y14" s="28">
        <v>3</v>
      </c>
      <c r="Z14" s="28">
        <f>1.2*2.1</f>
        <v>2.52</v>
      </c>
      <c r="AA14" s="28">
        <f t="shared" si="0"/>
        <v>12.48</v>
      </c>
      <c r="AE14" s="28" t="s">
        <v>97</v>
      </c>
      <c r="AF14" s="28">
        <v>6.15</v>
      </c>
      <c r="AG14" s="28">
        <v>3</v>
      </c>
      <c r="AH14" s="28">
        <f>1.6*2.1+1.2*2.1+0.7*2.1</f>
        <v>7.3500000000000005</v>
      </c>
      <c r="AI14" s="28">
        <f>AF14*AG14-AH14</f>
        <v>11.100000000000001</v>
      </c>
      <c r="AJ14" s="49"/>
      <c r="AN14" s="28" t="s">
        <v>97</v>
      </c>
      <c r="AO14" s="71">
        <v>8.19</v>
      </c>
      <c r="AP14" s="71">
        <f>12.3-1.95</f>
        <v>10.350000000000001</v>
      </c>
      <c r="AQ14" s="55">
        <f>1.6*2.1+1.2*2.1+0.7*2.1</f>
        <v>7.3500000000000005</v>
      </c>
      <c r="AR14" s="55">
        <v>0</v>
      </c>
      <c r="AS14" s="55">
        <v>3</v>
      </c>
      <c r="AT14" s="55">
        <f>AQ14+AR14</f>
        <v>7.3500000000000005</v>
      </c>
      <c r="AU14" s="167">
        <f>(AP14*AS14)-AT14</f>
        <v>23.700000000000003</v>
      </c>
      <c r="AV14" s="168">
        <v>0</v>
      </c>
    </row>
    <row r="15" spans="3:48" s="24" customFormat="1" ht="15" customHeight="1">
      <c r="C15" s="269" t="s">
        <v>471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U15" s="158" t="s">
        <v>42</v>
      </c>
      <c r="V15" s="293" t="s">
        <v>230</v>
      </c>
      <c r="W15" s="294"/>
      <c r="X15" s="28">
        <v>5</v>
      </c>
      <c r="Y15" s="28">
        <v>4.37</v>
      </c>
      <c r="Z15" s="28">
        <v>0</v>
      </c>
      <c r="AA15" s="28">
        <f t="shared" si="0"/>
        <v>21.85</v>
      </c>
      <c r="AE15" s="28" t="s">
        <v>41</v>
      </c>
      <c r="AF15" s="28">
        <f>1.15*2+2.25</f>
        <v>4.55</v>
      </c>
      <c r="AG15" s="28">
        <v>3</v>
      </c>
      <c r="AH15" s="28">
        <f>0.8*0.8+0.8*2.1</f>
        <v>2.3200000000000003</v>
      </c>
      <c r="AI15" s="28">
        <f>AF15*AG15-AH15</f>
        <v>11.329999999999998</v>
      </c>
      <c r="AJ15" s="49"/>
      <c r="AN15" s="28" t="s">
        <v>41</v>
      </c>
      <c r="AO15" s="71">
        <v>2.59</v>
      </c>
      <c r="AP15" s="71">
        <f>1.15*2+2*2.25</f>
        <v>6.8</v>
      </c>
      <c r="AQ15" s="55">
        <f>0.8*0.8+0.8*2.1</f>
        <v>2.3200000000000003</v>
      </c>
      <c r="AR15" s="55">
        <f>2.25*2.1</f>
        <v>4.7250000000000005</v>
      </c>
      <c r="AS15" s="55">
        <v>3</v>
      </c>
      <c r="AT15" s="55">
        <f>AQ15+AR15</f>
        <v>7.045000000000001</v>
      </c>
      <c r="AU15" s="167">
        <f>(AP15*AS15)-AT15</f>
        <v>13.354999999999997</v>
      </c>
      <c r="AV15" s="168">
        <v>0</v>
      </c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293" t="s">
        <v>80</v>
      </c>
      <c r="W16" s="294"/>
      <c r="X16" s="28">
        <v>2.55</v>
      </c>
      <c r="Y16" s="28">
        <v>3</v>
      </c>
      <c r="Z16" s="28">
        <v>0</v>
      </c>
      <c r="AA16" s="28">
        <f t="shared" si="0"/>
        <v>7.6499999999999995</v>
      </c>
      <c r="AE16" s="28" t="s">
        <v>507</v>
      </c>
      <c r="AF16" s="28">
        <f>6.55+5.3+2.05+1.15</f>
        <v>15.049999999999999</v>
      </c>
      <c r="AG16" s="28">
        <v>4.37</v>
      </c>
      <c r="AH16" s="28">
        <f>1.95*3+1.5*1+0.8*0.8</f>
        <v>7.99</v>
      </c>
      <c r="AI16" s="28">
        <f>AF16*AG16-AH16</f>
        <v>57.7785</v>
      </c>
      <c r="AJ16" s="49"/>
      <c r="AN16" s="345" t="s">
        <v>210</v>
      </c>
      <c r="AO16" s="345"/>
      <c r="AP16" s="345"/>
      <c r="AQ16" s="345"/>
      <c r="AR16" s="345"/>
      <c r="AS16" s="345"/>
      <c r="AT16" s="345"/>
      <c r="AU16" s="345"/>
      <c r="AV16" s="345"/>
    </row>
    <row r="17" spans="3:48" s="24" customFormat="1" ht="15" customHeight="1">
      <c r="C17" s="309" t="s">
        <v>166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1"/>
      <c r="U17" s="158" t="s">
        <v>43</v>
      </c>
      <c r="V17" s="293" t="s">
        <v>231</v>
      </c>
      <c r="W17" s="294"/>
      <c r="X17" s="28">
        <v>2.05</v>
      </c>
      <c r="Y17" s="28">
        <v>4.37</v>
      </c>
      <c r="Z17" s="28">
        <f>1.5*1</f>
        <v>1.5</v>
      </c>
      <c r="AA17" s="28">
        <f t="shared" si="0"/>
        <v>7.458499999999999</v>
      </c>
      <c r="AE17" s="268" t="s">
        <v>67</v>
      </c>
      <c r="AF17" s="268"/>
      <c r="AG17" s="268"/>
      <c r="AH17" s="268"/>
      <c r="AI17" s="268"/>
      <c r="AJ17" s="49"/>
      <c r="AN17" s="28" t="s">
        <v>507</v>
      </c>
      <c r="AO17" s="71">
        <v>0</v>
      </c>
      <c r="AP17" s="71">
        <f>6.55+5.3+2.05+1.15</f>
        <v>15.049999999999999</v>
      </c>
      <c r="AQ17" s="55">
        <f>1.95*3+1.5*1+0.8*0.8</f>
        <v>7.99</v>
      </c>
      <c r="AR17" s="55">
        <v>0</v>
      </c>
      <c r="AS17" s="55">
        <v>4.37</v>
      </c>
      <c r="AT17" s="55">
        <f>AQ17+AR17</f>
        <v>7.99</v>
      </c>
      <c r="AU17" s="167">
        <f>(AP17*AS17)-AT17</f>
        <v>57.7785</v>
      </c>
      <c r="AV17" s="168">
        <f>AO17</f>
        <v>0</v>
      </c>
    </row>
    <row r="18" spans="3:48" s="24" customFormat="1" ht="15" customHeight="1">
      <c r="C18" s="312" t="s">
        <v>477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4"/>
      <c r="N18" s="315" t="s">
        <v>164</v>
      </c>
      <c r="O18" s="316"/>
      <c r="P18" s="316"/>
      <c r="Q18" s="316"/>
      <c r="R18" s="317"/>
      <c r="U18" s="158" t="s">
        <v>42</v>
      </c>
      <c r="V18" s="293" t="s">
        <v>232</v>
      </c>
      <c r="W18" s="294"/>
      <c r="X18" s="28">
        <v>1.15</v>
      </c>
      <c r="Y18" s="28">
        <v>3</v>
      </c>
      <c r="Z18" s="28">
        <f>0.8*2.1</f>
        <v>1.6800000000000002</v>
      </c>
      <c r="AA18" s="28">
        <f t="shared" si="0"/>
        <v>1.7699999999999996</v>
      </c>
      <c r="AE18" s="340" t="s">
        <v>207</v>
      </c>
      <c r="AF18" s="340"/>
      <c r="AG18" s="340"/>
      <c r="AH18" s="340"/>
      <c r="AI18" s="160">
        <f>ROUND(SUM(AI12:AI16),2)</f>
        <v>134.93</v>
      </c>
      <c r="AJ18" s="49"/>
      <c r="AN18" s="345" t="s">
        <v>73</v>
      </c>
      <c r="AO18" s="345"/>
      <c r="AP18" s="345"/>
      <c r="AQ18" s="345"/>
      <c r="AR18" s="345"/>
      <c r="AS18" s="345"/>
      <c r="AT18" s="345"/>
      <c r="AU18" s="345"/>
      <c r="AV18" s="345"/>
    </row>
    <row r="19" spans="3:48" s="24" customFormat="1" ht="15" customHeight="1">
      <c r="C19" s="312" t="s">
        <v>163</v>
      </c>
      <c r="D19" s="313"/>
      <c r="E19" s="313"/>
      <c r="F19" s="313"/>
      <c r="G19" s="313"/>
      <c r="H19" s="313"/>
      <c r="I19" s="314"/>
      <c r="J19" s="329" t="s">
        <v>463</v>
      </c>
      <c r="K19" s="330"/>
      <c r="L19" s="330"/>
      <c r="M19" s="331"/>
      <c r="N19" s="318"/>
      <c r="O19" s="319"/>
      <c r="P19" s="319"/>
      <c r="Q19" s="319"/>
      <c r="R19" s="320"/>
      <c r="U19" s="158" t="s">
        <v>42</v>
      </c>
      <c r="V19" s="293" t="s">
        <v>233</v>
      </c>
      <c r="W19" s="294"/>
      <c r="X19" s="28">
        <v>1.15</v>
      </c>
      <c r="Y19" s="28">
        <v>4.37</v>
      </c>
      <c r="Z19" s="28">
        <f>0.8*0.8</f>
        <v>0.6400000000000001</v>
      </c>
      <c r="AA19" s="28">
        <f t="shared" si="0"/>
        <v>4.3855</v>
      </c>
      <c r="AE19" s="27"/>
      <c r="AF19" s="38"/>
      <c r="AG19" s="39"/>
      <c r="AH19" s="39"/>
      <c r="AI19" s="38"/>
      <c r="AJ19" s="40"/>
      <c r="AN19" s="65"/>
      <c r="AO19" s="169"/>
      <c r="AP19" s="169"/>
      <c r="AQ19" s="169"/>
      <c r="AR19" s="169"/>
      <c r="AS19" s="169"/>
      <c r="AT19" s="169"/>
      <c r="AU19" s="169"/>
      <c r="AV19" s="169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268" t="s">
        <v>67</v>
      </c>
      <c r="V20" s="268"/>
      <c r="W20" s="268"/>
      <c r="X20" s="268"/>
      <c r="Y20" s="268"/>
      <c r="Z20" s="268"/>
      <c r="AA20" s="268"/>
      <c r="AE20" s="27"/>
      <c r="AF20" s="41"/>
      <c r="AG20" s="41"/>
      <c r="AH20" s="41"/>
      <c r="AI20" s="41"/>
      <c r="AJ20" s="41"/>
      <c r="AN20" s="346" t="s">
        <v>499</v>
      </c>
      <c r="AO20" s="346"/>
      <c r="AP20" s="171">
        <f>ROUND(SUM(AU12:AU17),2)</f>
        <v>157.5</v>
      </c>
      <c r="AR20"/>
      <c r="AS20"/>
      <c r="AT20"/>
      <c r="AU20"/>
      <c r="AV2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124</v>
      </c>
      <c r="Q21" s="190" t="s">
        <v>123</v>
      </c>
      <c r="R21" s="190" t="s">
        <v>123</v>
      </c>
      <c r="U21" s="321" t="s">
        <v>0</v>
      </c>
      <c r="V21" s="321"/>
      <c r="W21" s="321"/>
      <c r="X21" s="321"/>
      <c r="Y21" s="321"/>
      <c r="Z21" s="321"/>
      <c r="AA21" s="156">
        <f>ROUND(SUM(AA12:AA19),2)</f>
        <v>80.86</v>
      </c>
      <c r="AE21" s="339" t="s">
        <v>208</v>
      </c>
      <c r="AF21" s="339"/>
      <c r="AG21" s="339"/>
      <c r="AH21" s="339"/>
      <c r="AI21" s="339"/>
      <c r="AJ21" s="339"/>
      <c r="AN21" s="346" t="s">
        <v>500</v>
      </c>
      <c r="AO21" s="346"/>
      <c r="AP21" s="171">
        <f>ROUND(SUM(AV12:AV15),2)</f>
        <v>0</v>
      </c>
      <c r="AQ21" s="23"/>
      <c r="AR21"/>
      <c r="AS21"/>
      <c r="AT21"/>
      <c r="AU21"/>
      <c r="AV21"/>
    </row>
    <row r="22" spans="3:39" ht="15" customHeight="1">
      <c r="C22" s="196" t="s">
        <v>179</v>
      </c>
      <c r="D22" s="197">
        <v>0.6</v>
      </c>
      <c r="E22" s="197">
        <v>0.7</v>
      </c>
      <c r="F22" s="198">
        <f aca="true" t="shared" si="1" ref="F22:F28">D22*E22</f>
        <v>0.42</v>
      </c>
      <c r="G22" s="199">
        <v>0.2</v>
      </c>
      <c r="H22" s="200">
        <v>0.3</v>
      </c>
      <c r="I22" s="201">
        <v>1.5</v>
      </c>
      <c r="J22" s="202">
        <v>0.2</v>
      </c>
      <c r="K22" s="202">
        <v>0.2</v>
      </c>
      <c r="L22" s="203">
        <f aca="true" t="shared" si="2" ref="L22:L28">J22*K22</f>
        <v>0.04000000000000001</v>
      </c>
      <c r="M22" s="204">
        <f aca="true" t="shared" si="3" ref="M22:M28">I22-H22</f>
        <v>1.2</v>
      </c>
      <c r="N22" s="198">
        <f aca="true" t="shared" si="4" ref="N22:N28">(D22+0.1)*(E22+0.1)*(I22+0.05)</f>
        <v>0.8679999999999999</v>
      </c>
      <c r="O22" s="198">
        <f aca="true" t="shared" si="5" ref="O22:O28">(D22+0.1)*(E22+0.1)</f>
        <v>0.5599999999999999</v>
      </c>
      <c r="P22" s="198">
        <f>O22*0.05</f>
        <v>0.027999999999999997</v>
      </c>
      <c r="Q22" s="205">
        <f aca="true" t="shared" si="6" ref="Q22:Q27">(F22*H22)+(L22*M22)+P22</f>
        <v>0.202</v>
      </c>
      <c r="R22" s="198">
        <f aca="true" t="shared" si="7" ref="R22:R28">N22-Q22</f>
        <v>0.6659999999999999</v>
      </c>
      <c r="AE22" s="328" t="s">
        <v>7</v>
      </c>
      <c r="AF22" s="328" t="s">
        <v>8</v>
      </c>
      <c r="AG22" s="328" t="s">
        <v>58</v>
      </c>
      <c r="AH22" s="328" t="s">
        <v>63</v>
      </c>
      <c r="AI22" s="328" t="s">
        <v>234</v>
      </c>
      <c r="AJ22" s="328" t="s">
        <v>55</v>
      </c>
      <c r="AK22" s="24"/>
      <c r="AL22" s="24"/>
      <c r="AM22" s="24"/>
    </row>
    <row r="23" spans="3:36" ht="15" customHeight="1">
      <c r="C23" s="196" t="s">
        <v>180</v>
      </c>
      <c r="D23" s="197">
        <v>0.8</v>
      </c>
      <c r="E23" s="197">
        <v>1</v>
      </c>
      <c r="F23" s="198">
        <f t="shared" si="1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2"/>
        <v>0.045</v>
      </c>
      <c r="M23" s="204">
        <f t="shared" si="3"/>
        <v>1.2</v>
      </c>
      <c r="N23" s="198">
        <f t="shared" si="4"/>
        <v>1.5345000000000002</v>
      </c>
      <c r="O23" s="198">
        <f t="shared" si="5"/>
        <v>0.9900000000000001</v>
      </c>
      <c r="P23" s="198">
        <f aca="true" t="shared" si="8" ref="P23:P28">O23*0.05</f>
        <v>0.04950000000000001</v>
      </c>
      <c r="Q23" s="205">
        <f t="shared" si="6"/>
        <v>0.34349999999999997</v>
      </c>
      <c r="R23" s="198">
        <f t="shared" si="7"/>
        <v>1.1910000000000003</v>
      </c>
      <c r="AE23" s="328"/>
      <c r="AF23" s="328"/>
      <c r="AG23" s="328"/>
      <c r="AH23" s="328"/>
      <c r="AI23" s="328"/>
      <c r="AJ23" s="328"/>
    </row>
    <row r="24" spans="3:36" ht="15" customHeight="1">
      <c r="C24" s="196" t="s">
        <v>181</v>
      </c>
      <c r="D24" s="197">
        <v>0.9</v>
      </c>
      <c r="E24" s="197">
        <v>1</v>
      </c>
      <c r="F24" s="198">
        <f t="shared" si="1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2"/>
        <v>0.06</v>
      </c>
      <c r="M24" s="204">
        <f t="shared" si="3"/>
        <v>1.2</v>
      </c>
      <c r="N24" s="198">
        <f t="shared" si="4"/>
        <v>1.7050000000000003</v>
      </c>
      <c r="O24" s="198">
        <f t="shared" si="5"/>
        <v>1.1</v>
      </c>
      <c r="P24" s="198">
        <f t="shared" si="8"/>
        <v>0.05500000000000001</v>
      </c>
      <c r="Q24" s="205">
        <f t="shared" si="6"/>
        <v>0.397</v>
      </c>
      <c r="R24" s="198">
        <f t="shared" si="7"/>
        <v>1.3080000000000003</v>
      </c>
      <c r="U24" s="283" t="s">
        <v>492</v>
      </c>
      <c r="V24" s="283"/>
      <c r="W24" s="283"/>
      <c r="X24" s="283"/>
      <c r="Y24" s="283"/>
      <c r="Z24" s="53"/>
      <c r="AA24" s="53"/>
      <c r="AB24" s="57"/>
      <c r="AC24" s="47"/>
      <c r="AE24" s="28" t="s">
        <v>76</v>
      </c>
      <c r="AF24" s="28">
        <v>18.6</v>
      </c>
      <c r="AG24" s="28">
        <v>3</v>
      </c>
      <c r="AH24" s="28">
        <f>1.5*1+1.2*2.1</f>
        <v>4.02</v>
      </c>
      <c r="AI24" s="28">
        <f>2*2.1</f>
        <v>4.2</v>
      </c>
      <c r="AJ24" s="28">
        <f>AF24*AG24-AH24-AI24</f>
        <v>47.58</v>
      </c>
    </row>
    <row r="25" spans="3:45" ht="15" customHeight="1">
      <c r="C25" s="196" t="s">
        <v>182</v>
      </c>
      <c r="D25" s="197">
        <v>0.6</v>
      </c>
      <c r="E25" s="197">
        <v>0.7</v>
      </c>
      <c r="F25" s="198">
        <f t="shared" si="1"/>
        <v>0.42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1.2</v>
      </c>
      <c r="N25" s="198">
        <f t="shared" si="4"/>
        <v>0.8679999999999999</v>
      </c>
      <c r="O25" s="198">
        <f t="shared" si="5"/>
        <v>0.5599999999999999</v>
      </c>
      <c r="P25" s="198">
        <f t="shared" si="8"/>
        <v>0.027999999999999997</v>
      </c>
      <c r="Q25" s="205">
        <f t="shared" si="6"/>
        <v>0.208</v>
      </c>
      <c r="R25" s="198">
        <f t="shared" si="7"/>
        <v>0.6599999999999999</v>
      </c>
      <c r="U25" s="163" t="s">
        <v>31</v>
      </c>
      <c r="V25" s="163" t="s">
        <v>59</v>
      </c>
      <c r="W25" s="163" t="s">
        <v>10</v>
      </c>
      <c r="X25" s="163" t="s">
        <v>64</v>
      </c>
      <c r="Y25" s="163" t="s">
        <v>54</v>
      </c>
      <c r="Z25" s="224"/>
      <c r="AA25" s="58"/>
      <c r="AB25" s="47" t="s">
        <v>49</v>
      </c>
      <c r="AC25" s="47" t="s">
        <v>50</v>
      </c>
      <c r="AE25" s="28" t="s">
        <v>77</v>
      </c>
      <c r="AF25" s="28">
        <v>4.05</v>
      </c>
      <c r="AG25" s="28">
        <v>3</v>
      </c>
      <c r="AH25" s="28">
        <f>1.6*2.1+1.95*3</f>
        <v>9.21</v>
      </c>
      <c r="AI25" s="28">
        <v>0</v>
      </c>
      <c r="AJ25" s="28">
        <f>AF25*AG25-AH25-AI25</f>
        <v>2.9399999999999977</v>
      </c>
      <c r="AN25" s="269" t="s">
        <v>501</v>
      </c>
      <c r="AO25" s="269"/>
      <c r="AP25" s="269"/>
      <c r="AQ25" s="269"/>
      <c r="AR25" s="269"/>
      <c r="AS25" s="159"/>
    </row>
    <row r="26" spans="3:36" ht="15" customHeight="1">
      <c r="C26" s="196" t="s">
        <v>183</v>
      </c>
      <c r="D26" s="197">
        <v>0.7</v>
      </c>
      <c r="E26" s="197">
        <v>0.9</v>
      </c>
      <c r="F26" s="198">
        <f t="shared" si="1"/>
        <v>0.63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2"/>
        <v>0.045</v>
      </c>
      <c r="M26" s="204">
        <f t="shared" si="3"/>
        <v>1.2</v>
      </c>
      <c r="N26" s="198">
        <f t="shared" si="4"/>
        <v>1.24</v>
      </c>
      <c r="O26" s="198">
        <f t="shared" si="5"/>
        <v>0.7999999999999999</v>
      </c>
      <c r="P26" s="198">
        <f t="shared" si="8"/>
        <v>0.04</v>
      </c>
      <c r="Q26" s="205">
        <f t="shared" si="6"/>
        <v>0.283</v>
      </c>
      <c r="R26" s="198">
        <f t="shared" si="7"/>
        <v>0.9570000000000001</v>
      </c>
      <c r="U26" s="222" t="s">
        <v>1</v>
      </c>
      <c r="V26" s="222">
        <v>1.6</v>
      </c>
      <c r="W26" s="222">
        <v>0.3</v>
      </c>
      <c r="X26" s="222">
        <v>1</v>
      </c>
      <c r="Y26" s="222">
        <f>((V26+(2*W26))*X26)</f>
        <v>2.2</v>
      </c>
      <c r="Z26" s="226"/>
      <c r="AA26" s="58"/>
      <c r="AB26" s="47">
        <f>IF(V26&lt;=1.5,((V26+(2*W26))*X26),0)</f>
        <v>0</v>
      </c>
      <c r="AC26" s="47">
        <f>IF(V26&gt;1.5,((V26+(2*W26))*X26),0)</f>
        <v>2.2</v>
      </c>
      <c r="AE26" s="28" t="s">
        <v>97</v>
      </c>
      <c r="AF26" s="28">
        <v>6.15</v>
      </c>
      <c r="AG26" s="28">
        <v>3</v>
      </c>
      <c r="AH26" s="28">
        <f>1.6*2.1+1.2*2.1+0.7*2.1</f>
        <v>7.3500000000000005</v>
      </c>
      <c r="AI26" s="28">
        <v>0</v>
      </c>
      <c r="AJ26" s="28">
        <f>AF26*AG26-AH26-AI26</f>
        <v>11.100000000000001</v>
      </c>
    </row>
    <row r="27" spans="3:44" ht="15" customHeight="1">
      <c r="C27" s="196" t="s">
        <v>184</v>
      </c>
      <c r="D27" s="197">
        <v>0.8</v>
      </c>
      <c r="E27" s="197">
        <v>1</v>
      </c>
      <c r="F27" s="198">
        <f t="shared" si="1"/>
        <v>0.8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4"/>
        <v>1.5345000000000002</v>
      </c>
      <c r="O27" s="198">
        <f t="shared" si="5"/>
        <v>0.9900000000000001</v>
      </c>
      <c r="P27" s="198">
        <f t="shared" si="8"/>
        <v>0.04950000000000001</v>
      </c>
      <c r="Q27" s="205">
        <f t="shared" si="6"/>
        <v>0.34349999999999997</v>
      </c>
      <c r="R27" s="198">
        <f t="shared" si="7"/>
        <v>1.1910000000000003</v>
      </c>
      <c r="U27" s="222" t="s">
        <v>37</v>
      </c>
      <c r="V27" s="222">
        <v>1.2</v>
      </c>
      <c r="W27" s="222">
        <v>0.3</v>
      </c>
      <c r="X27" s="222">
        <v>1</v>
      </c>
      <c r="Y27" s="222">
        <f>((V27+(2*W27))*X27)</f>
        <v>1.7999999999999998</v>
      </c>
      <c r="Z27" s="226"/>
      <c r="AA27" s="58"/>
      <c r="AB27" s="47">
        <f>IF(V27&lt;=1.5,((V27+(2*W27))*X27),0)</f>
        <v>1.7999999999999998</v>
      </c>
      <c r="AC27" s="47">
        <f>IF(V27&gt;1.5,((V27+(2*W27))*X27),0)</f>
        <v>0</v>
      </c>
      <c r="AE27" s="28" t="s">
        <v>41</v>
      </c>
      <c r="AF27" s="28">
        <f>1.15*2+2.25</f>
        <v>4.55</v>
      </c>
      <c r="AG27" s="28">
        <v>3</v>
      </c>
      <c r="AH27" s="28">
        <f>0.8*0.8+0.8*2.1</f>
        <v>2.3200000000000003</v>
      </c>
      <c r="AI27" s="28">
        <f>2.25*2.1</f>
        <v>4.7250000000000005</v>
      </c>
      <c r="AJ27" s="28">
        <f>AF27*AG27-AH27-AI27</f>
        <v>6.604999999999998</v>
      </c>
      <c r="AN27" s="344" t="s">
        <v>36</v>
      </c>
      <c r="AO27" s="344"/>
      <c r="AP27" s="344"/>
      <c r="AQ27" s="344"/>
      <c r="AR27" s="344"/>
    </row>
    <row r="28" spans="3:44" ht="15" customHeight="1">
      <c r="C28" s="196" t="s">
        <v>185</v>
      </c>
      <c r="D28" s="197">
        <v>1</v>
      </c>
      <c r="E28" s="197">
        <v>1.1</v>
      </c>
      <c r="F28" s="198">
        <f t="shared" si="1"/>
        <v>1.1</v>
      </c>
      <c r="G28" s="199">
        <v>0.2</v>
      </c>
      <c r="H28" s="200">
        <v>0.3</v>
      </c>
      <c r="I28" s="201">
        <v>1.5</v>
      </c>
      <c r="J28" s="202">
        <v>0.2</v>
      </c>
      <c r="K28" s="202">
        <v>0.3</v>
      </c>
      <c r="L28" s="203">
        <f t="shared" si="2"/>
        <v>0.06</v>
      </c>
      <c r="M28" s="204">
        <f t="shared" si="3"/>
        <v>1.2</v>
      </c>
      <c r="N28" s="198">
        <f t="shared" si="4"/>
        <v>2.0460000000000007</v>
      </c>
      <c r="O28" s="198">
        <f t="shared" si="5"/>
        <v>1.3200000000000003</v>
      </c>
      <c r="P28" s="198">
        <f t="shared" si="8"/>
        <v>0.06600000000000002</v>
      </c>
      <c r="Q28" s="205">
        <f>(F28*H28)+(L28*M28)+P28</f>
        <v>0.468</v>
      </c>
      <c r="R28" s="198">
        <f t="shared" si="7"/>
        <v>1.5780000000000007</v>
      </c>
      <c r="U28" s="222" t="s">
        <v>106</v>
      </c>
      <c r="V28" s="222">
        <v>0.7</v>
      </c>
      <c r="W28" s="222">
        <v>0.3</v>
      </c>
      <c r="X28" s="222">
        <v>1</v>
      </c>
      <c r="Y28" s="222">
        <f>((V28+(2*W28))*X28)</f>
        <v>1.2999999999999998</v>
      </c>
      <c r="Z28" s="226"/>
      <c r="AA28" s="58"/>
      <c r="AB28" s="47">
        <f>IF(V28&lt;=1.5,((V28+(2*W28))*X28),0)</f>
        <v>1.2999999999999998</v>
      </c>
      <c r="AC28" s="47">
        <f>IF(V28&gt;1.5,((V28+(2*W28))*X28),0)</f>
        <v>0</v>
      </c>
      <c r="AE28" s="28" t="s">
        <v>507</v>
      </c>
      <c r="AF28" s="28">
        <f>6.55+5.3+2.05+1.15</f>
        <v>15.049999999999999</v>
      </c>
      <c r="AG28" s="28">
        <v>4.37</v>
      </c>
      <c r="AH28" s="28">
        <f>1.95*3+1.5*1+0.8*0.8</f>
        <v>7.99</v>
      </c>
      <c r="AI28" s="28">
        <v>0</v>
      </c>
      <c r="AJ28" s="28">
        <f>AF28*AG28-AH28-AI28</f>
        <v>57.7785</v>
      </c>
      <c r="AN28" s="163" t="s">
        <v>2</v>
      </c>
      <c r="AO28" s="163" t="s">
        <v>59</v>
      </c>
      <c r="AP28" s="163" t="s">
        <v>58</v>
      </c>
      <c r="AQ28" s="163" t="s">
        <v>64</v>
      </c>
      <c r="AR28" s="163" t="s">
        <v>32</v>
      </c>
    </row>
    <row r="29" spans="3:44" ht="15" customHeight="1">
      <c r="C29" s="325" t="s">
        <v>138</v>
      </c>
      <c r="D29" s="326"/>
      <c r="E29" s="326"/>
      <c r="F29" s="326"/>
      <c r="G29" s="326"/>
      <c r="H29" s="326"/>
      <c r="I29" s="326"/>
      <c r="J29" s="326"/>
      <c r="K29" s="326"/>
      <c r="L29" s="326"/>
      <c r="M29" s="327"/>
      <c r="N29" s="206">
        <f>ROUND(SUM(N22:N28),2)</f>
        <v>9.8</v>
      </c>
      <c r="O29" s="207">
        <f>ROUND(SUM(O22:O28),2)</f>
        <v>6.32</v>
      </c>
      <c r="P29" s="207">
        <f>ROUND(SUM(P22:P28),2)</f>
        <v>0.32</v>
      </c>
      <c r="Q29" s="207">
        <f>ROUND(SUM(Q22:Q28),2)</f>
        <v>2.25</v>
      </c>
      <c r="R29" s="207">
        <f>ROUND(SUM(R22:R28),2)</f>
        <v>7.55</v>
      </c>
      <c r="U29" s="222" t="s">
        <v>113</v>
      </c>
      <c r="V29" s="222">
        <v>1.5</v>
      </c>
      <c r="W29" s="222">
        <v>0.3</v>
      </c>
      <c r="X29" s="222">
        <v>1</v>
      </c>
      <c r="Y29" s="222">
        <f>((V29+(2*W29))*X29)</f>
        <v>2.1</v>
      </c>
      <c r="Z29" s="226"/>
      <c r="AA29" s="58"/>
      <c r="AB29" s="47">
        <f>IF(V29&lt;=1.5,((V29+(2*W29))*X29),0)</f>
        <v>2.1</v>
      </c>
      <c r="AC29" s="47">
        <f>IF(V29&gt;1.5,((V29+(2*W29))*X29),0)</f>
        <v>0</v>
      </c>
      <c r="AE29" s="268" t="s">
        <v>209</v>
      </c>
      <c r="AF29" s="268"/>
      <c r="AG29" s="268"/>
      <c r="AH29" s="268"/>
      <c r="AI29" s="268"/>
      <c r="AJ29" s="268"/>
      <c r="AN29" s="230" t="s">
        <v>37</v>
      </c>
      <c r="AO29" s="230">
        <v>1.2</v>
      </c>
      <c r="AP29" s="230">
        <v>2.1</v>
      </c>
      <c r="AQ29" s="230">
        <v>1</v>
      </c>
      <c r="AR29" s="230">
        <f>2*(AO29*AP29*AQ29+0.035*AO29+0.035*AP29)</f>
        <v>5.271</v>
      </c>
    </row>
    <row r="30" spans="21:44" ht="15" customHeight="1">
      <c r="U30" s="222" t="s">
        <v>114</v>
      </c>
      <c r="V30" s="222">
        <v>0.8</v>
      </c>
      <c r="W30" s="222">
        <v>0.3</v>
      </c>
      <c r="X30" s="222">
        <v>1</v>
      </c>
      <c r="Y30" s="222">
        <f>((V30+(2*W30))*X30)</f>
        <v>1.4</v>
      </c>
      <c r="Z30" s="226"/>
      <c r="AA30" s="58"/>
      <c r="AB30" s="47">
        <f>IF(V30&lt;=1.5,((V30+(2*W30))*X30),0)</f>
        <v>1.4</v>
      </c>
      <c r="AC30" s="47">
        <f>IF(V30&gt;1.5,((V30+(2*W30))*X30),0)</f>
        <v>0</v>
      </c>
      <c r="AE30" s="342" t="s">
        <v>207</v>
      </c>
      <c r="AF30" s="342"/>
      <c r="AG30" s="342"/>
      <c r="AH30" s="342"/>
      <c r="AI30" s="342"/>
      <c r="AJ30" s="160">
        <f>ROUND(SUM(AJ24:AJ28),2)</f>
        <v>126</v>
      </c>
      <c r="AN30" s="230" t="s">
        <v>106</v>
      </c>
      <c r="AO30" s="230">
        <v>0.7</v>
      </c>
      <c r="AP30" s="230">
        <v>2.1</v>
      </c>
      <c r="AQ30" s="230">
        <v>1</v>
      </c>
      <c r="AR30" s="230">
        <f>2*(AO30*AP30*AQ30+0.035*AO30+0.035*AP30)</f>
        <v>3.136</v>
      </c>
    </row>
    <row r="31" spans="21:44" ht="15" customHeight="1">
      <c r="U31" s="284" t="s">
        <v>71</v>
      </c>
      <c r="V31" s="284"/>
      <c r="W31" s="284"/>
      <c r="X31" s="284"/>
      <c r="Y31" s="284"/>
      <c r="Z31" s="61"/>
      <c r="AA31" s="58"/>
      <c r="AB31" s="47"/>
      <c r="AC31" s="47"/>
      <c r="AE31" s="27"/>
      <c r="AF31" s="38"/>
      <c r="AG31" s="39"/>
      <c r="AH31" s="39"/>
      <c r="AI31" s="38"/>
      <c r="AJ31" s="40"/>
      <c r="AN31" s="284" t="s">
        <v>241</v>
      </c>
      <c r="AO31" s="284"/>
      <c r="AP31" s="284"/>
      <c r="AQ31" s="284"/>
      <c r="AR31" s="284"/>
    </row>
    <row r="32" spans="21:44" ht="15" customHeight="1">
      <c r="U32" s="263" t="s">
        <v>0</v>
      </c>
      <c r="V32" s="263" t="s">
        <v>45</v>
      </c>
      <c r="W32" s="263"/>
      <c r="X32" s="263" t="s">
        <v>46</v>
      </c>
      <c r="Y32" s="263"/>
      <c r="Z32" s="228"/>
      <c r="AA32" s="56"/>
      <c r="AB32" s="53"/>
      <c r="AE32" s="339" t="s">
        <v>52</v>
      </c>
      <c r="AF32" s="339"/>
      <c r="AG32" s="339"/>
      <c r="AH32" s="339"/>
      <c r="AI32" s="339"/>
      <c r="AJ32" s="159"/>
      <c r="AN32" s="321" t="s">
        <v>0</v>
      </c>
      <c r="AO32" s="321"/>
      <c r="AP32" s="321"/>
      <c r="AQ32" s="321"/>
      <c r="AR32" s="164">
        <f>ROUND(SUM(AR29:AR30),2)</f>
        <v>8.41</v>
      </c>
    </row>
    <row r="33" spans="3:36" ht="15" customHeight="1">
      <c r="C33" s="286" t="s">
        <v>175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O33" s="307" t="s">
        <v>250</v>
      </c>
      <c r="P33" s="307"/>
      <c r="Q33" s="307"/>
      <c r="R33" s="307"/>
      <c r="U33" s="263"/>
      <c r="V33" s="223" t="s">
        <v>47</v>
      </c>
      <c r="W33" s="221" t="s">
        <v>48</v>
      </c>
      <c r="X33" s="223" t="s">
        <v>47</v>
      </c>
      <c r="Y33" s="221" t="s">
        <v>48</v>
      </c>
      <c r="Z33" s="228"/>
      <c r="AA33" s="60"/>
      <c r="AB33" s="53"/>
      <c r="AC33" s="227" t="s">
        <v>489</v>
      </c>
      <c r="AE33" s="328" t="s">
        <v>7</v>
      </c>
      <c r="AF33" s="328" t="s">
        <v>8</v>
      </c>
      <c r="AG33" s="328" t="s">
        <v>58</v>
      </c>
      <c r="AH33" s="328" t="s">
        <v>63</v>
      </c>
      <c r="AI33" s="328" t="s">
        <v>55</v>
      </c>
      <c r="AJ33" s="24"/>
    </row>
    <row r="34" spans="3:36" ht="15" customHeight="1">
      <c r="C34" s="289" t="s">
        <v>477</v>
      </c>
      <c r="D34" s="289" t="s">
        <v>165</v>
      </c>
      <c r="E34" s="289"/>
      <c r="F34" s="289"/>
      <c r="G34" s="289" t="s">
        <v>129</v>
      </c>
      <c r="H34" s="289"/>
      <c r="I34" s="289"/>
      <c r="J34" s="289"/>
      <c r="K34" s="289"/>
      <c r="L34" s="289"/>
      <c r="M34" s="289"/>
      <c r="O34" s="145"/>
      <c r="P34" s="185"/>
      <c r="Q34" s="185"/>
      <c r="R34" s="185"/>
      <c r="U34" s="263"/>
      <c r="V34" s="165">
        <f>ROUND(SUM(AB26:AB28),2)</f>
        <v>3.1</v>
      </c>
      <c r="W34" s="164">
        <f>ROUND(SUM(AC26:AC28),2)</f>
        <v>2.2</v>
      </c>
      <c r="X34" s="164">
        <f>ROUND(SUM(AB29:AB30),2)</f>
        <v>3.5</v>
      </c>
      <c r="Y34" s="164">
        <f>ROUND(SUM(AC29:AC30),2)</f>
        <v>0</v>
      </c>
      <c r="Z34" s="228"/>
      <c r="AA34" s="56"/>
      <c r="AB34" s="20"/>
      <c r="AE34" s="328"/>
      <c r="AF34" s="328"/>
      <c r="AG34" s="328"/>
      <c r="AH34" s="328"/>
      <c r="AI34" s="328"/>
      <c r="AJ34" s="24"/>
    </row>
    <row r="35" spans="3:44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285" t="s">
        <v>251</v>
      </c>
      <c r="Q35" s="285"/>
      <c r="R35" s="285"/>
      <c r="AE35" s="43" t="s">
        <v>41</v>
      </c>
      <c r="AF35" s="28">
        <v>2.25</v>
      </c>
      <c r="AG35" s="28">
        <v>2.1</v>
      </c>
      <c r="AH35" s="28">
        <v>0</v>
      </c>
      <c r="AI35" s="28">
        <f>AF35*AG35-AH35</f>
        <v>4.7250000000000005</v>
      </c>
      <c r="AJ35" s="24"/>
      <c r="AN35" s="333" t="s">
        <v>502</v>
      </c>
      <c r="AO35" s="333"/>
      <c r="AP35" s="333"/>
      <c r="AQ35" s="333"/>
      <c r="AR35" s="333"/>
    </row>
    <row r="36" spans="3:44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285" t="s">
        <v>466</v>
      </c>
      <c r="Q36" s="285"/>
      <c r="R36" s="285"/>
      <c r="AE36" s="43" t="s">
        <v>76</v>
      </c>
      <c r="AF36" s="28">
        <v>2</v>
      </c>
      <c r="AG36" s="28">
        <v>2.1</v>
      </c>
      <c r="AH36" s="28">
        <v>0</v>
      </c>
      <c r="AI36" s="28">
        <f>AF36*AG36-AH36</f>
        <v>4.2</v>
      </c>
      <c r="AJ36" s="24"/>
      <c r="AN36" s="241" t="s">
        <v>117</v>
      </c>
      <c r="AO36" s="241" t="s">
        <v>212</v>
      </c>
      <c r="AP36" s="241" t="s">
        <v>57</v>
      </c>
      <c r="AQ36" s="241" t="s">
        <v>59</v>
      </c>
      <c r="AR36" s="241" t="s">
        <v>4</v>
      </c>
    </row>
    <row r="37" spans="3:44" ht="15" customHeight="1">
      <c r="C37" s="208" t="s">
        <v>194</v>
      </c>
      <c r="D37" s="209">
        <v>0.15</v>
      </c>
      <c r="E37" s="209">
        <v>0.3</v>
      </c>
      <c r="F37" s="210">
        <v>2.55</v>
      </c>
      <c r="G37" s="209">
        <f aca="true" t="shared" si="9" ref="G37:G43">(D37+0.2)*(E37+0.05-0.08)*F37</f>
        <v>0.24097499999999994</v>
      </c>
      <c r="H37" s="209">
        <f aca="true" t="shared" si="10" ref="H37:H43">(D37+0.2)*F37</f>
        <v>0.8924999999999998</v>
      </c>
      <c r="I37" s="209">
        <f aca="true" t="shared" si="11" ref="I37:I43">H37*0.05</f>
        <v>0.044625</v>
      </c>
      <c r="J37" s="209">
        <f aca="true" t="shared" si="12" ref="J37:J43">(D37*E37*F37)+I37</f>
        <v>0.159375</v>
      </c>
      <c r="K37" s="209">
        <f aca="true" t="shared" si="13" ref="K37:K43">G37-J37</f>
        <v>0.08159999999999995</v>
      </c>
      <c r="L37" s="209">
        <f aca="true" t="shared" si="14" ref="L37:L43">(D37+E37*2)*F37</f>
        <v>1.9124999999999999</v>
      </c>
      <c r="M37" s="209">
        <f aca="true" t="shared" si="15" ref="M37:M43">F37*0.2*0.3</f>
        <v>0.153</v>
      </c>
      <c r="O37" s="186" t="s">
        <v>249</v>
      </c>
      <c r="P37" s="285" t="s">
        <v>464</v>
      </c>
      <c r="Q37" s="285"/>
      <c r="R37" s="285"/>
      <c r="AE37" s="341" t="s">
        <v>68</v>
      </c>
      <c r="AF37" s="341"/>
      <c r="AG37" s="341"/>
      <c r="AH37" s="341"/>
      <c r="AI37" s="341"/>
      <c r="AJ37" s="24"/>
      <c r="AN37" s="105" t="s">
        <v>243</v>
      </c>
      <c r="AO37" s="109">
        <v>0.1</v>
      </c>
      <c r="AP37" s="105">
        <v>1.3</v>
      </c>
      <c r="AQ37" s="105">
        <v>4.35</v>
      </c>
      <c r="AR37" s="240">
        <f>AP37*SQRT(((AQ37*AO37)^2)+(AQ37^2))</f>
        <v>5.683204663743863</v>
      </c>
    </row>
    <row r="38" spans="3:44" ht="15" customHeight="1">
      <c r="C38" s="208" t="s">
        <v>195</v>
      </c>
      <c r="D38" s="209">
        <v>0.15</v>
      </c>
      <c r="E38" s="209">
        <v>0.3</v>
      </c>
      <c r="F38" s="210">
        <v>4.6</v>
      </c>
      <c r="G38" s="209">
        <f t="shared" si="9"/>
        <v>0.4346999999999999</v>
      </c>
      <c r="H38" s="209">
        <f t="shared" si="10"/>
        <v>1.6099999999999999</v>
      </c>
      <c r="I38" s="209">
        <f t="shared" si="11"/>
        <v>0.0805</v>
      </c>
      <c r="J38" s="209">
        <f t="shared" si="12"/>
        <v>0.2875</v>
      </c>
      <c r="K38" s="209">
        <f t="shared" si="13"/>
        <v>0.14719999999999994</v>
      </c>
      <c r="L38" s="209">
        <f t="shared" si="14"/>
        <v>3.4499999999999997</v>
      </c>
      <c r="M38" s="209">
        <f t="shared" si="15"/>
        <v>0.27599999999999997</v>
      </c>
      <c r="O38" s="187"/>
      <c r="P38" s="187"/>
      <c r="Q38" s="187"/>
      <c r="R38" s="187"/>
      <c r="U38" s="269" t="s">
        <v>505</v>
      </c>
      <c r="V38" s="269"/>
      <c r="W38" s="269"/>
      <c r="X38" s="269"/>
      <c r="Y38" s="269"/>
      <c r="Z38" s="269"/>
      <c r="AA38" s="159"/>
      <c r="AE38" s="342" t="s">
        <v>0</v>
      </c>
      <c r="AF38" s="342"/>
      <c r="AG38" s="342"/>
      <c r="AH38" s="342"/>
      <c r="AI38" s="161">
        <f>ROUND(SUM(AI35:AI36),2)</f>
        <v>8.93</v>
      </c>
      <c r="AJ38" s="24"/>
      <c r="AN38" s="105" t="s">
        <v>244</v>
      </c>
      <c r="AO38" s="109">
        <v>0.1</v>
      </c>
      <c r="AP38" s="105">
        <v>5</v>
      </c>
      <c r="AQ38" s="105">
        <v>6.4</v>
      </c>
      <c r="AR38" s="240">
        <f>AP38*SQRT(((AQ38*AO38)^2)+(AQ38^2))</f>
        <v>32.15960198758685</v>
      </c>
    </row>
    <row r="39" spans="3:44" ht="15" customHeight="1">
      <c r="C39" s="208" t="s">
        <v>196</v>
      </c>
      <c r="D39" s="209">
        <v>0.15</v>
      </c>
      <c r="E39" s="209">
        <v>0.3</v>
      </c>
      <c r="F39" s="210">
        <v>2.1</v>
      </c>
      <c r="G39" s="209">
        <f t="shared" si="9"/>
        <v>0.19845</v>
      </c>
      <c r="H39" s="209">
        <f t="shared" si="10"/>
        <v>0.735</v>
      </c>
      <c r="I39" s="209">
        <f t="shared" si="11"/>
        <v>0.03675</v>
      </c>
      <c r="J39" s="209">
        <f t="shared" si="12"/>
        <v>0.13125</v>
      </c>
      <c r="K39" s="209">
        <f t="shared" si="13"/>
        <v>0.06719999999999998</v>
      </c>
      <c r="L39" s="209">
        <f t="shared" si="14"/>
        <v>1.5750000000000002</v>
      </c>
      <c r="M39" s="209">
        <f t="shared" si="15"/>
        <v>0.126</v>
      </c>
      <c r="O39" s="186"/>
      <c r="P39" s="285" t="s">
        <v>252</v>
      </c>
      <c r="Q39" s="285"/>
      <c r="R39" s="285"/>
      <c r="AN39" s="338" t="s">
        <v>214</v>
      </c>
      <c r="AO39" s="338"/>
      <c r="AP39" s="338"/>
      <c r="AQ39" s="338"/>
      <c r="AR39" s="338"/>
    </row>
    <row r="40" spans="3:44" ht="15" customHeight="1">
      <c r="C40" s="208" t="s">
        <v>197</v>
      </c>
      <c r="D40" s="209">
        <v>0.15</v>
      </c>
      <c r="E40" s="209">
        <v>0.3</v>
      </c>
      <c r="F40" s="210">
        <v>4.6</v>
      </c>
      <c r="G40" s="209">
        <f t="shared" si="9"/>
        <v>0.4346999999999999</v>
      </c>
      <c r="H40" s="209">
        <f t="shared" si="10"/>
        <v>1.6099999999999999</v>
      </c>
      <c r="I40" s="209">
        <f t="shared" si="11"/>
        <v>0.0805</v>
      </c>
      <c r="J40" s="209">
        <f t="shared" si="12"/>
        <v>0.2875</v>
      </c>
      <c r="K40" s="209">
        <f t="shared" si="13"/>
        <v>0.14719999999999994</v>
      </c>
      <c r="L40" s="209">
        <f t="shared" si="14"/>
        <v>3.4499999999999997</v>
      </c>
      <c r="M40" s="209">
        <f t="shared" si="15"/>
        <v>0.27599999999999997</v>
      </c>
      <c r="O40" s="186" t="s">
        <v>163</v>
      </c>
      <c r="P40" s="285" t="s">
        <v>467</v>
      </c>
      <c r="Q40" s="285"/>
      <c r="R40" s="285"/>
      <c r="U40" s="283" t="s">
        <v>45</v>
      </c>
      <c r="V40" s="283"/>
      <c r="W40" s="283"/>
      <c r="X40" s="283"/>
      <c r="Y40" s="283"/>
      <c r="Z40" s="283"/>
      <c r="AE40" s="183"/>
      <c r="AF40" s="183"/>
      <c r="AG40" s="183"/>
      <c r="AH40" s="183"/>
      <c r="AI40" s="183"/>
      <c r="AJ40" s="183"/>
      <c r="AN40" s="332" t="s">
        <v>0</v>
      </c>
      <c r="AO40" s="332"/>
      <c r="AP40" s="332"/>
      <c r="AQ40" s="332"/>
      <c r="AR40" s="166">
        <f>ROUND(SUM(AR37:AR38),2)</f>
        <v>37.84</v>
      </c>
    </row>
    <row r="41" spans="3:37" ht="15" customHeight="1">
      <c r="C41" s="208" t="s">
        <v>198</v>
      </c>
      <c r="D41" s="209">
        <v>0.15</v>
      </c>
      <c r="E41" s="209">
        <v>0.3</v>
      </c>
      <c r="F41" s="210">
        <v>6.45</v>
      </c>
      <c r="G41" s="209">
        <f t="shared" si="9"/>
        <v>0.609525</v>
      </c>
      <c r="H41" s="209">
        <f t="shared" si="10"/>
        <v>2.2575</v>
      </c>
      <c r="I41" s="209">
        <f t="shared" si="11"/>
        <v>0.112875</v>
      </c>
      <c r="J41" s="209">
        <f t="shared" si="12"/>
        <v>0.403125</v>
      </c>
      <c r="K41" s="209">
        <f t="shared" si="13"/>
        <v>0.20639999999999997</v>
      </c>
      <c r="L41" s="209">
        <f t="shared" si="14"/>
        <v>4.8375</v>
      </c>
      <c r="M41" s="209">
        <f t="shared" si="15"/>
        <v>0.387</v>
      </c>
      <c r="O41" s="186" t="s">
        <v>249</v>
      </c>
      <c r="P41" s="285" t="s">
        <v>465</v>
      </c>
      <c r="Q41" s="285"/>
      <c r="R41" s="285"/>
      <c r="U41" s="163" t="s">
        <v>2</v>
      </c>
      <c r="V41" s="163" t="s">
        <v>59</v>
      </c>
      <c r="W41" s="163" t="s">
        <v>58</v>
      </c>
      <c r="X41" s="163" t="s">
        <v>12</v>
      </c>
      <c r="Y41" s="163" t="s">
        <v>64</v>
      </c>
      <c r="Z41" s="163" t="s">
        <v>32</v>
      </c>
      <c r="AE41" s="269" t="s">
        <v>495</v>
      </c>
      <c r="AF41" s="269"/>
      <c r="AG41" s="269"/>
      <c r="AH41" s="269"/>
      <c r="AI41" s="269"/>
      <c r="AJ41" s="269"/>
      <c r="AK41" s="269"/>
    </row>
    <row r="42" spans="3:37" ht="15" customHeight="1">
      <c r="C42" s="208" t="s">
        <v>199</v>
      </c>
      <c r="D42" s="209">
        <v>0.15</v>
      </c>
      <c r="E42" s="209">
        <v>0.3</v>
      </c>
      <c r="F42" s="210">
        <v>1.3</v>
      </c>
      <c r="G42" s="209">
        <f t="shared" si="9"/>
        <v>0.12284999999999999</v>
      </c>
      <c r="H42" s="209">
        <f t="shared" si="10"/>
        <v>0.45499999999999996</v>
      </c>
      <c r="I42" s="209">
        <f t="shared" si="11"/>
        <v>0.02275</v>
      </c>
      <c r="J42" s="209">
        <f t="shared" si="12"/>
        <v>0.08124999999999999</v>
      </c>
      <c r="K42" s="209">
        <f t="shared" si="13"/>
        <v>0.0416</v>
      </c>
      <c r="L42" s="209">
        <f t="shared" si="14"/>
        <v>0.9750000000000001</v>
      </c>
      <c r="M42" s="209">
        <f t="shared" si="15"/>
        <v>0.078</v>
      </c>
      <c r="O42" s="187"/>
      <c r="P42" s="187"/>
      <c r="Q42" s="187"/>
      <c r="R42" s="187"/>
      <c r="U42" s="225" t="s">
        <v>1</v>
      </c>
      <c r="V42" s="225">
        <v>1.6</v>
      </c>
      <c r="W42" s="225">
        <v>2.1</v>
      </c>
      <c r="X42" s="225" t="s">
        <v>110</v>
      </c>
      <c r="Y42" s="164">
        <v>1</v>
      </c>
      <c r="Z42" s="225">
        <f>V42*W42*Y42</f>
        <v>3.3600000000000003</v>
      </c>
      <c r="AE42" s="234"/>
      <c r="AF42" s="234"/>
      <c r="AG42" s="234"/>
      <c r="AH42" s="234"/>
      <c r="AI42" s="234"/>
      <c r="AJ42" s="234"/>
      <c r="AK42" s="234"/>
    </row>
    <row r="43" spans="3:37" ht="15" customHeight="1">
      <c r="C43" s="208" t="s">
        <v>200</v>
      </c>
      <c r="D43" s="209">
        <v>0.15</v>
      </c>
      <c r="E43" s="209">
        <v>0.3</v>
      </c>
      <c r="F43" s="210">
        <v>5.3</v>
      </c>
      <c r="G43" s="209">
        <f t="shared" si="9"/>
        <v>0.5008499999999999</v>
      </c>
      <c r="H43" s="209">
        <f t="shared" si="10"/>
        <v>1.8549999999999998</v>
      </c>
      <c r="I43" s="209">
        <f t="shared" si="11"/>
        <v>0.09275</v>
      </c>
      <c r="J43" s="209">
        <f t="shared" si="12"/>
        <v>0.33125</v>
      </c>
      <c r="K43" s="209">
        <f t="shared" si="13"/>
        <v>0.16959999999999992</v>
      </c>
      <c r="L43" s="209">
        <f t="shared" si="14"/>
        <v>3.9749999999999996</v>
      </c>
      <c r="M43" s="209">
        <f t="shared" si="15"/>
        <v>0.318</v>
      </c>
      <c r="O43" s="186"/>
      <c r="P43" s="285" t="s">
        <v>253</v>
      </c>
      <c r="Q43" s="285"/>
      <c r="R43" s="285"/>
      <c r="U43" s="225" t="s">
        <v>37</v>
      </c>
      <c r="V43" s="225">
        <v>1.2</v>
      </c>
      <c r="W43" s="225">
        <v>2.1</v>
      </c>
      <c r="X43" s="225" t="s">
        <v>27</v>
      </c>
      <c r="Y43" s="164">
        <v>1</v>
      </c>
      <c r="Z43" s="225">
        <f>V43*W43*Y43</f>
        <v>2.52</v>
      </c>
      <c r="AE43" s="344" t="s">
        <v>105</v>
      </c>
      <c r="AF43" s="344"/>
      <c r="AG43" s="53"/>
      <c r="AH43" s="344" t="s">
        <v>425</v>
      </c>
      <c r="AI43" s="344"/>
      <c r="AJ43" s="344"/>
      <c r="AK43" s="344"/>
    </row>
    <row r="44" spans="3:46" ht="15" customHeight="1">
      <c r="C44" s="280" t="s">
        <v>138</v>
      </c>
      <c r="D44" s="280"/>
      <c r="E44" s="280"/>
      <c r="F44" s="280"/>
      <c r="G44" s="206">
        <f aca="true" t="shared" si="16" ref="G44:M44">ROUND(SUM(G37:G43),2)</f>
        <v>2.54</v>
      </c>
      <c r="H44" s="207">
        <f t="shared" si="16"/>
        <v>9.42</v>
      </c>
      <c r="I44" s="207">
        <f t="shared" si="16"/>
        <v>0.47</v>
      </c>
      <c r="J44" s="207">
        <f t="shared" si="16"/>
        <v>1.68</v>
      </c>
      <c r="K44" s="207">
        <f t="shared" si="16"/>
        <v>0.86</v>
      </c>
      <c r="L44" s="207">
        <f t="shared" si="16"/>
        <v>20.18</v>
      </c>
      <c r="M44" s="207">
        <f t="shared" si="16"/>
        <v>1.61</v>
      </c>
      <c r="O44" s="186" t="s">
        <v>163</v>
      </c>
      <c r="P44" s="285" t="s">
        <v>254</v>
      </c>
      <c r="Q44" s="285"/>
      <c r="R44" s="285"/>
      <c r="U44" s="225" t="s">
        <v>106</v>
      </c>
      <c r="V44" s="225">
        <v>0.7</v>
      </c>
      <c r="W44" s="225">
        <v>2.1</v>
      </c>
      <c r="X44" s="225" t="s">
        <v>27</v>
      </c>
      <c r="Y44" s="164">
        <v>1</v>
      </c>
      <c r="Z44" s="225">
        <f>V44*W44*Y44</f>
        <v>1.47</v>
      </c>
      <c r="AE44" s="229" t="s">
        <v>7</v>
      </c>
      <c r="AF44" s="229" t="s">
        <v>4</v>
      </c>
      <c r="AG44" s="90"/>
      <c r="AH44" s="328" t="s">
        <v>7</v>
      </c>
      <c r="AI44" s="328" t="s">
        <v>8</v>
      </c>
      <c r="AJ44" s="328" t="s">
        <v>63</v>
      </c>
      <c r="AK44" s="328" t="s">
        <v>54</v>
      </c>
      <c r="AN44" s="269" t="s">
        <v>426</v>
      </c>
      <c r="AO44" s="269"/>
      <c r="AP44" s="269"/>
      <c r="AQ44" s="269"/>
      <c r="AR44" s="269"/>
      <c r="AS44" s="269"/>
      <c r="AT44" s="269"/>
    </row>
    <row r="45" spans="15:45" ht="15" customHeight="1">
      <c r="O45" s="186" t="s">
        <v>249</v>
      </c>
      <c r="P45" s="285" t="s">
        <v>254</v>
      </c>
      <c r="Q45" s="285"/>
      <c r="R45" s="285"/>
      <c r="U45" s="284" t="s">
        <v>70</v>
      </c>
      <c r="V45" s="284"/>
      <c r="W45" s="284"/>
      <c r="X45" s="284"/>
      <c r="Y45" s="284"/>
      <c r="Z45" s="284"/>
      <c r="AE45" s="28" t="s">
        <v>76</v>
      </c>
      <c r="AF45" s="28">
        <v>21.5</v>
      </c>
      <c r="AG45" s="91"/>
      <c r="AH45" s="328"/>
      <c r="AI45" s="328"/>
      <c r="AJ45" s="328"/>
      <c r="AK45" s="328"/>
      <c r="AN45" s="32"/>
      <c r="AO45" s="32"/>
      <c r="AP45" s="33"/>
      <c r="AQ45" s="33"/>
      <c r="AR45" s="33"/>
      <c r="AS45" s="33"/>
    </row>
    <row r="46" spans="3:46" ht="15" customHeight="1">
      <c r="C46" s="296" t="s">
        <v>0</v>
      </c>
      <c r="D46" s="297"/>
      <c r="E46" s="297"/>
      <c r="F46" s="297"/>
      <c r="G46" s="298"/>
      <c r="H46" s="192" t="s">
        <v>137</v>
      </c>
      <c r="I46" s="192" t="s">
        <v>136</v>
      </c>
      <c r="J46" s="192" t="s">
        <v>134</v>
      </c>
      <c r="K46" s="192" t="s">
        <v>135</v>
      </c>
      <c r="L46" s="192" t="s">
        <v>133</v>
      </c>
      <c r="M46" s="192" t="s">
        <v>132</v>
      </c>
      <c r="O46" s="187"/>
      <c r="P46" s="187"/>
      <c r="Q46" s="187"/>
      <c r="R46" s="187"/>
      <c r="U46" s="20"/>
      <c r="V46" s="20"/>
      <c r="W46" s="20"/>
      <c r="X46" s="20"/>
      <c r="Y46" s="59"/>
      <c r="Z46" s="15"/>
      <c r="AE46" s="28" t="s">
        <v>97</v>
      </c>
      <c r="AF46" s="28">
        <v>8.19</v>
      </c>
      <c r="AG46" s="91"/>
      <c r="AH46" s="28" t="s">
        <v>76</v>
      </c>
      <c r="AI46" s="28">
        <v>18.6</v>
      </c>
      <c r="AJ46" s="28">
        <v>1.2</v>
      </c>
      <c r="AK46" s="28">
        <f>AI46-AJ46</f>
        <v>17.400000000000002</v>
      </c>
      <c r="AN46" s="277" t="s">
        <v>427</v>
      </c>
      <c r="AO46" s="277"/>
      <c r="AP46" s="277"/>
      <c r="AQ46" s="34"/>
      <c r="AR46" s="277" t="s">
        <v>503</v>
      </c>
      <c r="AS46" s="277"/>
      <c r="AT46" s="277"/>
    </row>
    <row r="47" spans="3:46" ht="15" customHeight="1">
      <c r="C47" s="299"/>
      <c r="D47" s="300"/>
      <c r="E47" s="300"/>
      <c r="F47" s="300"/>
      <c r="G47" s="301"/>
      <c r="H47" s="194" t="s">
        <v>124</v>
      </c>
      <c r="I47" s="194" t="s">
        <v>123</v>
      </c>
      <c r="J47" s="194" t="s">
        <v>123</v>
      </c>
      <c r="K47" s="194" t="s">
        <v>123</v>
      </c>
      <c r="L47" s="194" t="s">
        <v>131</v>
      </c>
      <c r="M47" s="194" t="s">
        <v>130</v>
      </c>
      <c r="O47" s="186"/>
      <c r="P47" s="285" t="s">
        <v>255</v>
      </c>
      <c r="Q47" s="285"/>
      <c r="R47" s="285"/>
      <c r="U47" s="20"/>
      <c r="V47" s="20"/>
      <c r="W47" s="20"/>
      <c r="X47" s="20"/>
      <c r="Y47" s="59"/>
      <c r="Z47" s="15"/>
      <c r="AE47" s="231" t="s">
        <v>0</v>
      </c>
      <c r="AF47" s="156">
        <f>ROUND(SUM(AF45:AF46),2)</f>
        <v>29.69</v>
      </c>
      <c r="AG47" s="91"/>
      <c r="AH47" s="28" t="s">
        <v>97</v>
      </c>
      <c r="AI47" s="28">
        <v>10.35</v>
      </c>
      <c r="AJ47" s="28">
        <f>1.6+1.2+0.7</f>
        <v>3.5</v>
      </c>
      <c r="AK47" s="28">
        <f>AI47-AJ47</f>
        <v>6.85</v>
      </c>
      <c r="AN47" s="306" t="s">
        <v>7</v>
      </c>
      <c r="AO47" s="306"/>
      <c r="AP47" s="155" t="s">
        <v>429</v>
      </c>
      <c r="AQ47" s="31"/>
      <c r="AR47" s="306" t="s">
        <v>117</v>
      </c>
      <c r="AS47" s="306"/>
      <c r="AT47" s="155" t="s">
        <v>429</v>
      </c>
    </row>
    <row r="48" spans="3:48" ht="15" customHeight="1">
      <c r="C48" s="302" t="s">
        <v>248</v>
      </c>
      <c r="D48" s="303"/>
      <c r="E48" s="303"/>
      <c r="F48" s="303"/>
      <c r="G48" s="304"/>
      <c r="H48" s="211">
        <f>O29+H44</f>
        <v>15.74</v>
      </c>
      <c r="I48" s="211">
        <f>P29+I44</f>
        <v>0.79</v>
      </c>
      <c r="J48" s="211">
        <f>Q29+J44</f>
        <v>3.9299999999999997</v>
      </c>
      <c r="K48" s="211">
        <f>R29+K44</f>
        <v>8.41</v>
      </c>
      <c r="L48" s="211">
        <f>L44</f>
        <v>20.18</v>
      </c>
      <c r="M48" s="211">
        <f>M44</f>
        <v>1.61</v>
      </c>
      <c r="O48" s="186" t="s">
        <v>163</v>
      </c>
      <c r="P48" s="285" t="s">
        <v>468</v>
      </c>
      <c r="Q48" s="285"/>
      <c r="R48" s="285"/>
      <c r="U48" s="283" t="s">
        <v>240</v>
      </c>
      <c r="V48" s="283"/>
      <c r="W48" s="283"/>
      <c r="X48" s="283"/>
      <c r="Y48" s="283"/>
      <c r="Z48" s="283"/>
      <c r="AE48" s="50"/>
      <c r="AF48" s="35"/>
      <c r="AG48" s="91"/>
      <c r="AH48" s="345" t="s">
        <v>69</v>
      </c>
      <c r="AI48" s="345"/>
      <c r="AJ48" s="345"/>
      <c r="AK48" s="345"/>
      <c r="AN48" s="281" t="s">
        <v>428</v>
      </c>
      <c r="AO48" s="281"/>
      <c r="AP48" s="156">
        <f>4.5+0.15+3.15+7.65</f>
        <v>15.450000000000001</v>
      </c>
      <c r="AQ48" s="31"/>
      <c r="AR48" s="281" t="s">
        <v>205</v>
      </c>
      <c r="AS48" s="281"/>
      <c r="AT48" s="156">
        <v>26.6</v>
      </c>
      <c r="AU48" s="182"/>
      <c r="AV48" s="182"/>
    </row>
    <row r="49" spans="15:37" ht="15" customHeight="1">
      <c r="O49" s="186" t="s">
        <v>249</v>
      </c>
      <c r="P49" s="285" t="s">
        <v>461</v>
      </c>
      <c r="Q49" s="285"/>
      <c r="R49" s="285"/>
      <c r="U49" s="163" t="s">
        <v>5</v>
      </c>
      <c r="V49" s="163" t="s">
        <v>59</v>
      </c>
      <c r="W49" s="163" t="s">
        <v>58</v>
      </c>
      <c r="X49" s="163" t="s">
        <v>12</v>
      </c>
      <c r="Y49" s="163" t="s">
        <v>64</v>
      </c>
      <c r="Z49" s="163" t="s">
        <v>32</v>
      </c>
      <c r="AE49" s="50"/>
      <c r="AF49" s="35"/>
      <c r="AG49" s="91"/>
      <c r="AH49" s="321" t="s">
        <v>0</v>
      </c>
      <c r="AI49" s="321"/>
      <c r="AJ49" s="321"/>
      <c r="AK49" s="156">
        <f>SUM(AK46:AK47)</f>
        <v>24.25</v>
      </c>
    </row>
    <row r="50" spans="15:37" ht="15" customHeight="1">
      <c r="O50" s="188"/>
      <c r="P50" s="188"/>
      <c r="Q50" s="188"/>
      <c r="R50" s="188"/>
      <c r="U50" s="225" t="s">
        <v>113</v>
      </c>
      <c r="V50" s="225">
        <v>1.5</v>
      </c>
      <c r="W50" s="225">
        <v>1</v>
      </c>
      <c r="X50" s="225" t="s">
        <v>431</v>
      </c>
      <c r="Y50" s="225">
        <v>1</v>
      </c>
      <c r="Z50" s="164">
        <f>V50*W50*Y50</f>
        <v>1.5</v>
      </c>
      <c r="AE50" s="344" t="s">
        <v>65</v>
      </c>
      <c r="AF50" s="344"/>
      <c r="AG50" s="91"/>
      <c r="AH50" s="24"/>
      <c r="AI50" s="24"/>
      <c r="AJ50" s="24"/>
      <c r="AK50" s="24"/>
    </row>
    <row r="51" spans="15:46" ht="15" customHeight="1">
      <c r="O51" s="186"/>
      <c r="P51" s="285" t="s">
        <v>256</v>
      </c>
      <c r="Q51" s="285"/>
      <c r="R51" s="285"/>
      <c r="U51" s="225" t="s">
        <v>114</v>
      </c>
      <c r="V51" s="225">
        <v>0.8</v>
      </c>
      <c r="W51" s="225">
        <v>0.8</v>
      </c>
      <c r="X51" s="225" t="s">
        <v>239</v>
      </c>
      <c r="Y51" s="225">
        <v>1</v>
      </c>
      <c r="Z51" s="164">
        <f>V51*W51*Y51</f>
        <v>0.6400000000000001</v>
      </c>
      <c r="AE51" s="229" t="s">
        <v>7</v>
      </c>
      <c r="AF51" s="229" t="s">
        <v>4</v>
      </c>
      <c r="AG51" s="91"/>
      <c r="AH51" s="24"/>
      <c r="AI51" s="24"/>
      <c r="AJ51" s="24"/>
      <c r="AK51" s="24"/>
      <c r="AN51" s="277" t="s">
        <v>533</v>
      </c>
      <c r="AO51" s="277"/>
      <c r="AP51" s="51"/>
      <c r="AR51" s="277" t="s">
        <v>534</v>
      </c>
      <c r="AS51" s="277"/>
      <c r="AT51" s="277"/>
    </row>
    <row r="52" spans="3:46" ht="15" customHeight="1">
      <c r="C52" s="290" t="s">
        <v>475</v>
      </c>
      <c r="D52" s="290"/>
      <c r="E52" s="290"/>
      <c r="F52" s="290"/>
      <c r="G52" s="290"/>
      <c r="H52" s="290"/>
      <c r="I52" s="290"/>
      <c r="J52" s="290"/>
      <c r="K52" s="290"/>
      <c r="O52" s="186" t="s">
        <v>163</v>
      </c>
      <c r="P52" s="285" t="s">
        <v>257</v>
      </c>
      <c r="Q52" s="285"/>
      <c r="R52" s="285"/>
      <c r="U52" s="284" t="s">
        <v>70</v>
      </c>
      <c r="V52" s="284"/>
      <c r="W52" s="284"/>
      <c r="X52" s="284"/>
      <c r="Y52" s="284"/>
      <c r="Z52" s="284"/>
      <c r="AE52" s="28" t="s">
        <v>41</v>
      </c>
      <c r="AF52" s="156">
        <v>2.59</v>
      </c>
      <c r="AG52" s="91"/>
      <c r="AH52" s="278" t="s">
        <v>107</v>
      </c>
      <c r="AI52" s="278"/>
      <c r="AJ52" s="278"/>
      <c r="AK52" s="278"/>
      <c r="AN52" s="155" t="s">
        <v>7</v>
      </c>
      <c r="AO52" s="155" t="s">
        <v>535</v>
      </c>
      <c r="AP52" s="51"/>
      <c r="AR52" s="306" t="s">
        <v>117</v>
      </c>
      <c r="AS52" s="306"/>
      <c r="AT52" s="155" t="s">
        <v>535</v>
      </c>
    </row>
    <row r="53" spans="3:48" ht="15" customHeight="1">
      <c r="C53" s="295" t="s">
        <v>128</v>
      </c>
      <c r="D53" s="295"/>
      <c r="E53" s="295"/>
      <c r="F53" s="295" t="s">
        <v>129</v>
      </c>
      <c r="G53" s="295"/>
      <c r="H53" s="295"/>
      <c r="I53" s="295"/>
      <c r="J53" s="295"/>
      <c r="K53" s="295"/>
      <c r="O53" s="186" t="s">
        <v>249</v>
      </c>
      <c r="P53" s="285" t="s">
        <v>257</v>
      </c>
      <c r="Q53" s="285"/>
      <c r="R53" s="285"/>
      <c r="U53" s="220"/>
      <c r="V53" s="182"/>
      <c r="W53" s="182"/>
      <c r="X53" s="182"/>
      <c r="Y53" s="182"/>
      <c r="Z53" s="182"/>
      <c r="AE53" s="48"/>
      <c r="AF53" s="48"/>
      <c r="AG53" s="91"/>
      <c r="AH53" s="163" t="s">
        <v>2</v>
      </c>
      <c r="AI53" s="163" t="s">
        <v>3</v>
      </c>
      <c r="AJ53" s="163" t="s">
        <v>6</v>
      </c>
      <c r="AK53" s="163" t="s">
        <v>54</v>
      </c>
      <c r="AN53" s="144" t="s">
        <v>205</v>
      </c>
      <c r="AO53" s="156">
        <v>3</v>
      </c>
      <c r="AP53" s="146"/>
      <c r="AR53" s="281" t="s">
        <v>205</v>
      </c>
      <c r="AS53" s="281"/>
      <c r="AT53" s="156">
        <v>3</v>
      </c>
      <c r="AU53" s="182"/>
      <c r="AV53" s="182"/>
    </row>
    <row r="54" spans="3:48" ht="15" customHeight="1">
      <c r="C54" s="295"/>
      <c r="D54" s="295"/>
      <c r="E54" s="295"/>
      <c r="F54" s="291" t="s">
        <v>246</v>
      </c>
      <c r="G54" s="214" t="s">
        <v>127</v>
      </c>
      <c r="H54" s="181" t="s">
        <v>126</v>
      </c>
      <c r="I54" s="292" t="s">
        <v>125</v>
      </c>
      <c r="J54" s="292"/>
      <c r="K54" s="292"/>
      <c r="U54" s="182"/>
      <c r="V54" s="182"/>
      <c r="W54" s="182"/>
      <c r="X54" s="182"/>
      <c r="Y54" s="182"/>
      <c r="Z54" s="182"/>
      <c r="AA54" s="182"/>
      <c r="AB54" s="182"/>
      <c r="AC54" s="182"/>
      <c r="AE54" s="51"/>
      <c r="AF54" s="91"/>
      <c r="AG54" s="21"/>
      <c r="AH54" s="230" t="s">
        <v>1</v>
      </c>
      <c r="AI54" s="28">
        <v>1.6</v>
      </c>
      <c r="AJ54" s="28">
        <v>1</v>
      </c>
      <c r="AK54" s="28">
        <f>AI54*AJ54</f>
        <v>1.6</v>
      </c>
      <c r="AN54" s="182"/>
      <c r="AO54" s="182"/>
      <c r="AP54" s="182"/>
      <c r="AQ54" s="182"/>
      <c r="AR54" s="182"/>
      <c r="AS54" s="182"/>
      <c r="AT54" s="182"/>
      <c r="AU54" s="182"/>
      <c r="AV54" s="182"/>
    </row>
    <row r="55" spans="3:48" ht="15" customHeight="1">
      <c r="C55" s="295"/>
      <c r="D55" s="295"/>
      <c r="E55" s="295"/>
      <c r="F55" s="291"/>
      <c r="G55" s="291" t="s">
        <v>476</v>
      </c>
      <c r="H55" s="291" t="s">
        <v>438</v>
      </c>
      <c r="I55" s="291" t="s">
        <v>439</v>
      </c>
      <c r="J55" s="291" t="s">
        <v>440</v>
      </c>
      <c r="K55" s="291" t="s">
        <v>441</v>
      </c>
      <c r="U55" s="182"/>
      <c r="V55" s="182"/>
      <c r="W55" s="182"/>
      <c r="X55" s="182"/>
      <c r="Y55" s="182"/>
      <c r="Z55" s="182"/>
      <c r="AA55" s="182"/>
      <c r="AB55" s="182"/>
      <c r="AC55" s="182"/>
      <c r="AE55" s="278" t="s">
        <v>66</v>
      </c>
      <c r="AF55" s="278"/>
      <c r="AG55" s="35"/>
      <c r="AH55" s="230" t="s">
        <v>37</v>
      </c>
      <c r="AI55" s="28">
        <v>1.2</v>
      </c>
      <c r="AJ55" s="28">
        <v>1</v>
      </c>
      <c r="AK55" s="28">
        <f>AI55*AJ55</f>
        <v>1.2</v>
      </c>
      <c r="AN55" s="182"/>
      <c r="AO55" s="182"/>
      <c r="AP55" s="182"/>
      <c r="AT55" s="182"/>
      <c r="AU55" s="182"/>
      <c r="AV55" s="182"/>
    </row>
    <row r="56" spans="3:48" ht="15" customHeight="1">
      <c r="C56" s="295"/>
      <c r="D56" s="295"/>
      <c r="E56" s="295"/>
      <c r="F56" s="291"/>
      <c r="G56" s="291" t="s">
        <v>123</v>
      </c>
      <c r="H56" s="291" t="s">
        <v>122</v>
      </c>
      <c r="I56" s="291" t="s">
        <v>122</v>
      </c>
      <c r="J56" s="291" t="s">
        <v>122</v>
      </c>
      <c r="K56" s="291" t="s">
        <v>122</v>
      </c>
      <c r="M56" s="277" t="s">
        <v>433</v>
      </c>
      <c r="N56" s="277"/>
      <c r="O56" s="277"/>
      <c r="P56" s="277"/>
      <c r="Q56" s="277"/>
      <c r="R56" s="277"/>
      <c r="U56" s="269" t="s">
        <v>116</v>
      </c>
      <c r="V56" s="269"/>
      <c r="W56" s="269"/>
      <c r="X56" s="269"/>
      <c r="Y56" s="269"/>
      <c r="Z56" s="182"/>
      <c r="AA56" s="182"/>
      <c r="AB56" s="182"/>
      <c r="AC56" s="182"/>
      <c r="AE56" s="229" t="s">
        <v>7</v>
      </c>
      <c r="AF56" s="229" t="s">
        <v>4</v>
      </c>
      <c r="AG56" s="35"/>
      <c r="AH56" s="230" t="s">
        <v>106</v>
      </c>
      <c r="AI56" s="28">
        <v>0.7</v>
      </c>
      <c r="AJ56" s="28">
        <v>1</v>
      </c>
      <c r="AK56" s="28">
        <f>AI56*AJ56</f>
        <v>0.7</v>
      </c>
      <c r="AN56" s="277" t="s">
        <v>536</v>
      </c>
      <c r="AO56" s="277"/>
      <c r="AP56" s="182"/>
      <c r="AT56" s="182"/>
      <c r="AU56" s="182"/>
      <c r="AV56" s="182"/>
    </row>
    <row r="57" spans="3:48" ht="15" customHeight="1">
      <c r="C57" s="288" t="s">
        <v>472</v>
      </c>
      <c r="D57" s="288"/>
      <c r="E57" s="288"/>
      <c r="F57" s="288"/>
      <c r="G57" s="288"/>
      <c r="H57" s="288"/>
      <c r="I57" s="288"/>
      <c r="J57" s="288"/>
      <c r="K57" s="288"/>
      <c r="M57" s="306" t="s">
        <v>117</v>
      </c>
      <c r="N57" s="306"/>
      <c r="O57" s="306"/>
      <c r="P57" s="154" t="s">
        <v>4</v>
      </c>
      <c r="Q57" s="154" t="s">
        <v>58</v>
      </c>
      <c r="R57" s="155" t="s">
        <v>470</v>
      </c>
      <c r="U57" s="104"/>
      <c r="V57" s="104"/>
      <c r="W57" s="104"/>
      <c r="X57" s="104"/>
      <c r="Y57" s="104"/>
      <c r="Z57" s="182"/>
      <c r="AA57" s="182"/>
      <c r="AB57" s="182"/>
      <c r="AC57" s="182"/>
      <c r="AE57" s="28" t="s">
        <v>76</v>
      </c>
      <c r="AF57" s="28">
        <v>21.5</v>
      </c>
      <c r="AG57" s="90"/>
      <c r="AH57" s="347" t="s">
        <v>0</v>
      </c>
      <c r="AI57" s="347"/>
      <c r="AJ57" s="347"/>
      <c r="AK57" s="156">
        <f>SUM(AK54:AK56)</f>
        <v>3.5</v>
      </c>
      <c r="AN57" s="155" t="s">
        <v>7</v>
      </c>
      <c r="AO57" s="155" t="s">
        <v>535</v>
      </c>
      <c r="AP57" s="182"/>
      <c r="AT57" s="182"/>
      <c r="AU57" s="182"/>
      <c r="AV57" s="182"/>
    </row>
    <row r="58" spans="3:46" s="182" customFormat="1" ht="15" customHeight="1">
      <c r="C58" s="305" t="s">
        <v>121</v>
      </c>
      <c r="D58" s="305"/>
      <c r="E58" s="305"/>
      <c r="F58" s="213">
        <f>1.79+2.07*2+2.26+1.94+1.99+2.34</f>
        <v>14.459999999999999</v>
      </c>
      <c r="G58" s="213">
        <f>0.16+0.26*2+0.31+0.17+0.22+0.36</f>
        <v>1.7399999999999998</v>
      </c>
      <c r="H58" s="213">
        <f>(1.5+1.7*2+1.9+1.7+1.7+1.9)*0.9</f>
        <v>10.89</v>
      </c>
      <c r="I58" s="213">
        <f>(3.4+6.4*2+7+3.4+5+8.3)*0.9</f>
        <v>35.91</v>
      </c>
      <c r="J58" s="213">
        <v>0</v>
      </c>
      <c r="K58" s="213">
        <f>(6.4+5.5*2+5.5+6.4+5.5+5.5)*0.9</f>
        <v>36.269999999999996</v>
      </c>
      <c r="M58" s="281" t="s">
        <v>432</v>
      </c>
      <c r="N58" s="281"/>
      <c r="O58" s="281"/>
      <c r="P58" s="28">
        <v>39.89</v>
      </c>
      <c r="Q58" s="28">
        <v>0.4</v>
      </c>
      <c r="R58" s="156">
        <f>ROUND(P58*Q58,2)</f>
        <v>15.96</v>
      </c>
      <c r="U58" s="333" t="s">
        <v>115</v>
      </c>
      <c r="V58" s="333"/>
      <c r="W58" s="333"/>
      <c r="X58" s="333"/>
      <c r="Y58" s="333"/>
      <c r="AE58" s="28" t="s">
        <v>97</v>
      </c>
      <c r="AF58" s="28">
        <v>8.19</v>
      </c>
      <c r="AG58" s="53"/>
      <c r="AH58" s="48"/>
      <c r="AI58" s="48"/>
      <c r="AJ58" s="48"/>
      <c r="AK58" s="48"/>
      <c r="AL58"/>
      <c r="AM58"/>
      <c r="AN58" s="144" t="s">
        <v>205</v>
      </c>
      <c r="AO58" s="156">
        <v>3</v>
      </c>
      <c r="AR58" s="183"/>
      <c r="AS58" s="183"/>
      <c r="AT58" s="183"/>
    </row>
    <row r="59" spans="3:46" s="182" customFormat="1" ht="15" customHeight="1">
      <c r="C59" s="305" t="s">
        <v>120</v>
      </c>
      <c r="D59" s="305"/>
      <c r="E59" s="305"/>
      <c r="F59" s="213">
        <v>20.18</v>
      </c>
      <c r="G59" s="213">
        <v>1.21</v>
      </c>
      <c r="H59" s="213">
        <f>22.4*0.9</f>
        <v>20.16</v>
      </c>
      <c r="I59" s="213">
        <v>0</v>
      </c>
      <c r="J59" s="213">
        <f>43.3*0.9</f>
        <v>38.97</v>
      </c>
      <c r="K59" s="213">
        <f>11.1*0.9</f>
        <v>9.99</v>
      </c>
      <c r="U59" s="241" t="s">
        <v>117</v>
      </c>
      <c r="V59" s="241" t="s">
        <v>212</v>
      </c>
      <c r="W59" s="241" t="s">
        <v>57</v>
      </c>
      <c r="X59" s="241" t="s">
        <v>59</v>
      </c>
      <c r="Y59" s="241" t="s">
        <v>4</v>
      </c>
      <c r="AE59" s="28" t="s">
        <v>109</v>
      </c>
      <c r="AF59" s="28">
        <v>4.1</v>
      </c>
      <c r="AG59" s="91"/>
      <c r="AH59" s="344" t="s">
        <v>235</v>
      </c>
      <c r="AI59" s="344"/>
      <c r="AJ59" s="344"/>
      <c r="AK59" s="344"/>
      <c r="AL59"/>
      <c r="AP59" s="183"/>
      <c r="AQ59" s="183"/>
      <c r="AR59" s="183"/>
      <c r="AS59" s="183"/>
      <c r="AT59" s="183"/>
    </row>
    <row r="60" spans="3:46" s="182" customFormat="1" ht="15" customHeight="1">
      <c r="C60" s="279" t="s">
        <v>474</v>
      </c>
      <c r="D60" s="279"/>
      <c r="E60" s="279"/>
      <c r="F60" s="215">
        <f aca="true" t="shared" si="17" ref="F60:K60">ROUND(SUM(F58:F59),2)</f>
        <v>34.64</v>
      </c>
      <c r="G60" s="215">
        <f t="shared" si="17"/>
        <v>2.95</v>
      </c>
      <c r="H60" s="215">
        <f t="shared" si="17"/>
        <v>31.05</v>
      </c>
      <c r="I60" s="215">
        <f t="shared" si="17"/>
        <v>35.91</v>
      </c>
      <c r="J60" s="215">
        <f t="shared" si="17"/>
        <v>38.97</v>
      </c>
      <c r="K60" s="215">
        <f t="shared" si="17"/>
        <v>46.26</v>
      </c>
      <c r="U60" s="105" t="s">
        <v>243</v>
      </c>
      <c r="V60" s="109">
        <v>0.1</v>
      </c>
      <c r="W60" s="105">
        <v>1.3</v>
      </c>
      <c r="X60" s="105">
        <v>4.35</v>
      </c>
      <c r="Y60" s="240">
        <f>W60*SQRT(((X60*V60)^2)+(X60^2))</f>
        <v>5.683204663743863</v>
      </c>
      <c r="AE60" s="28" t="s">
        <v>41</v>
      </c>
      <c r="AF60" s="28">
        <v>2.59</v>
      </c>
      <c r="AG60" s="91"/>
      <c r="AH60" s="229" t="s">
        <v>7</v>
      </c>
      <c r="AI60" s="229" t="s">
        <v>4</v>
      </c>
      <c r="AJ60" s="229" t="s">
        <v>236</v>
      </c>
      <c r="AK60" s="229" t="s">
        <v>237</v>
      </c>
      <c r="AN60" s="183"/>
      <c r="AO60" s="183"/>
      <c r="AP60" s="183"/>
      <c r="AQ60" s="183"/>
      <c r="AR60" s="183"/>
      <c r="AS60" s="183"/>
      <c r="AT60" s="183"/>
    </row>
    <row r="61" spans="3:46" s="182" customFormat="1" ht="15" customHeight="1">
      <c r="C61" s="153"/>
      <c r="D61" s="184"/>
      <c r="E61" s="184"/>
      <c r="F61" s="120"/>
      <c r="G61" s="120"/>
      <c r="H61" s="120"/>
      <c r="I61" s="120"/>
      <c r="J61" s="120"/>
      <c r="K61" s="120"/>
      <c r="M61" s="277" t="s">
        <v>488</v>
      </c>
      <c r="N61" s="277"/>
      <c r="O61" s="277"/>
      <c r="P61" s="277"/>
      <c r="U61" s="105" t="s">
        <v>244</v>
      </c>
      <c r="V61" s="109">
        <v>0.1</v>
      </c>
      <c r="W61" s="105">
        <v>5</v>
      </c>
      <c r="X61" s="105">
        <v>6.4</v>
      </c>
      <c r="Y61" s="240">
        <f>W61*SQRT(((X61*V61)^2)+(X61^2))</f>
        <v>32.15960198758685</v>
      </c>
      <c r="AE61" s="231" t="s">
        <v>0</v>
      </c>
      <c r="AF61" s="156">
        <f>ROUND(SUM(AF57:AF60),2)</f>
        <v>36.38</v>
      </c>
      <c r="AG61" s="91"/>
      <c r="AH61" s="28" t="s">
        <v>77</v>
      </c>
      <c r="AI61" s="28">
        <v>4.1</v>
      </c>
      <c r="AJ61" s="28">
        <v>0.06</v>
      </c>
      <c r="AK61" s="156">
        <f>AI61*AJ61</f>
        <v>0.24599999999999997</v>
      </c>
      <c r="AN61" s="183"/>
      <c r="AO61" s="183"/>
      <c r="AP61" s="183"/>
      <c r="AQ61" s="183"/>
      <c r="AR61" s="183"/>
      <c r="AS61" s="183"/>
      <c r="AT61" s="183"/>
    </row>
    <row r="62" spans="3:46" s="182" customFormat="1" ht="15" customHeight="1">
      <c r="C62" s="288" t="s">
        <v>119</v>
      </c>
      <c r="D62" s="288"/>
      <c r="E62" s="288"/>
      <c r="F62" s="288"/>
      <c r="G62" s="288"/>
      <c r="H62" s="288"/>
      <c r="I62" s="288"/>
      <c r="J62" s="288"/>
      <c r="K62" s="288"/>
      <c r="M62" s="154" t="s">
        <v>117</v>
      </c>
      <c r="N62" s="154" t="s">
        <v>486</v>
      </c>
      <c r="O62" s="154" t="s">
        <v>136</v>
      </c>
      <c r="P62" s="155" t="s">
        <v>0</v>
      </c>
      <c r="U62" s="338" t="s">
        <v>214</v>
      </c>
      <c r="V62" s="338"/>
      <c r="W62" s="338"/>
      <c r="X62" s="338"/>
      <c r="Y62" s="338"/>
      <c r="AE62" s="48"/>
      <c r="AF62" s="48"/>
      <c r="AG62" s="23"/>
      <c r="AH62" s="23"/>
      <c r="AI62" s="23"/>
      <c r="AJ62" s="23"/>
      <c r="AK62"/>
      <c r="AN62" s="269" t="s">
        <v>532</v>
      </c>
      <c r="AO62" s="269"/>
      <c r="AP62" s="159"/>
      <c r="AQ62" s="159"/>
      <c r="AR62" s="159"/>
      <c r="AS62" s="159"/>
      <c r="AT62" s="159"/>
    </row>
    <row r="63" spans="3:48" s="182" customFormat="1" ht="15" customHeight="1">
      <c r="C63" s="305" t="s">
        <v>473</v>
      </c>
      <c r="D63" s="305"/>
      <c r="E63" s="305"/>
      <c r="F63" s="213">
        <f>2.52+2.84*4+3.15*2</f>
        <v>20.18</v>
      </c>
      <c r="G63" s="213">
        <f>0.13+0.14*4+0.19*2</f>
        <v>1.07</v>
      </c>
      <c r="H63" s="213">
        <f>(3.1+3.5*4+4*2)*0.9</f>
        <v>22.590000000000003</v>
      </c>
      <c r="I63" s="213">
        <v>0</v>
      </c>
      <c r="J63" s="213">
        <v>0</v>
      </c>
      <c r="K63" s="213">
        <f>(8.5+8.5*4+8.5*2)*0.9</f>
        <v>53.550000000000004</v>
      </c>
      <c r="M63" s="144" t="s">
        <v>163</v>
      </c>
      <c r="N63" s="28">
        <f>G58</f>
        <v>1.7399999999999998</v>
      </c>
      <c r="O63" s="28">
        <f>P29</f>
        <v>0.32</v>
      </c>
      <c r="P63" s="156">
        <f>N63+O63</f>
        <v>2.0599999999999996</v>
      </c>
      <c r="U63" s="332" t="s">
        <v>0</v>
      </c>
      <c r="V63" s="332"/>
      <c r="W63" s="332"/>
      <c r="X63" s="332"/>
      <c r="Y63" s="166">
        <f>ROUND(SUM(Y60:Y61),2)</f>
        <v>37.84</v>
      </c>
      <c r="AE63" s="24"/>
      <c r="AF63" s="23"/>
      <c r="AG63" s="23"/>
      <c r="AH63" s="23"/>
      <c r="AI63" s="23"/>
      <c r="AJ63" s="23"/>
      <c r="AK63"/>
      <c r="AN63" s="183"/>
      <c r="AO63" s="183"/>
      <c r="AP63" s="183"/>
      <c r="AQ63" s="183"/>
      <c r="AR63" s="183"/>
      <c r="AS63" s="183"/>
      <c r="AT63" s="183"/>
      <c r="AU63" s="183"/>
      <c r="AV63" s="183"/>
    </row>
    <row r="64" spans="3:48" s="182" customFormat="1" ht="15" customHeight="1">
      <c r="C64" s="305" t="s">
        <v>245</v>
      </c>
      <c r="D64" s="305"/>
      <c r="E64" s="305"/>
      <c r="F64" s="213">
        <v>22.21</v>
      </c>
      <c r="G64" s="213">
        <v>1.37</v>
      </c>
      <c r="H64" s="213">
        <f>22.9*0.9</f>
        <v>20.61</v>
      </c>
      <c r="I64" s="213">
        <v>0</v>
      </c>
      <c r="J64" s="213">
        <f>41.6*0.9</f>
        <v>37.440000000000005</v>
      </c>
      <c r="K64" s="213">
        <f>4.7*0.9</f>
        <v>4.23</v>
      </c>
      <c r="U64" s="104"/>
      <c r="V64" s="104"/>
      <c r="W64" s="104"/>
      <c r="X64" s="104"/>
      <c r="Y64" s="104"/>
      <c r="Z64" s="183"/>
      <c r="AE64" s="277" t="s">
        <v>537</v>
      </c>
      <c r="AF64" s="277"/>
      <c r="AG64" s="159"/>
      <c r="AH64" s="269" t="s">
        <v>497</v>
      </c>
      <c r="AI64" s="269"/>
      <c r="AJ64" s="269"/>
      <c r="AK64" s="269"/>
      <c r="AN64" s="277" t="s">
        <v>504</v>
      </c>
      <c r="AO64" s="277"/>
      <c r="AP64" s="183"/>
      <c r="AQ64" s="183"/>
      <c r="AR64" s="183"/>
      <c r="AS64" s="183"/>
      <c r="AT64" s="183"/>
      <c r="AU64" s="183"/>
      <c r="AV64" s="183"/>
    </row>
    <row r="65" spans="3:48" s="182" customFormat="1" ht="15" customHeight="1">
      <c r="C65" s="279" t="s">
        <v>247</v>
      </c>
      <c r="D65" s="279"/>
      <c r="E65" s="279"/>
      <c r="F65" s="215">
        <f aca="true" t="shared" si="18" ref="F65:K65">ROUND(SUM(F63:F64),2)</f>
        <v>42.39</v>
      </c>
      <c r="G65" s="215">
        <f t="shared" si="18"/>
        <v>2.44</v>
      </c>
      <c r="H65" s="215">
        <f t="shared" si="18"/>
        <v>43.2</v>
      </c>
      <c r="I65" s="215">
        <f t="shared" si="18"/>
        <v>0</v>
      </c>
      <c r="J65" s="215">
        <f t="shared" si="18"/>
        <v>37.44</v>
      </c>
      <c r="K65" s="215">
        <f t="shared" si="18"/>
        <v>57.78</v>
      </c>
      <c r="U65" s="104"/>
      <c r="V65" s="104"/>
      <c r="W65" s="104"/>
      <c r="X65" s="104"/>
      <c r="Y65" s="104"/>
      <c r="Z65" s="183"/>
      <c r="AE65" s="155" t="s">
        <v>7</v>
      </c>
      <c r="AF65" s="155" t="s">
        <v>4</v>
      </c>
      <c r="AG65" s="23"/>
      <c r="AH65" s="23"/>
      <c r="AI65" s="23"/>
      <c r="AJ65" s="23"/>
      <c r="AK65"/>
      <c r="AN65" s="155" t="s">
        <v>7</v>
      </c>
      <c r="AO65" s="155" t="s">
        <v>4</v>
      </c>
      <c r="AP65" s="183"/>
      <c r="AQ65" s="183"/>
      <c r="AR65" s="183"/>
      <c r="AS65" s="183"/>
      <c r="AT65" s="183"/>
      <c r="AU65" s="183"/>
      <c r="AV65" s="183"/>
    </row>
    <row r="66" spans="3:48" s="182" customFormat="1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M66" s="277" t="s">
        <v>487</v>
      </c>
      <c r="N66" s="277"/>
      <c r="O66" s="277"/>
      <c r="P66" s="277"/>
      <c r="U66" s="333" t="s">
        <v>493</v>
      </c>
      <c r="V66" s="333"/>
      <c r="W66" s="107"/>
      <c r="X66" s="333" t="s">
        <v>494</v>
      </c>
      <c r="Y66" s="333"/>
      <c r="Z66" s="183"/>
      <c r="AE66" s="144" t="s">
        <v>205</v>
      </c>
      <c r="AF66" s="156">
        <f>ROUND(0.4+0.3+0.15+0.375*3,2)</f>
        <v>1.98</v>
      </c>
      <c r="AI66" s="343" t="s">
        <v>213</v>
      </c>
      <c r="AJ66" s="343"/>
      <c r="AK66"/>
      <c r="AN66" s="144" t="s">
        <v>205</v>
      </c>
      <c r="AO66" s="156">
        <v>39.89</v>
      </c>
      <c r="AP66" s="183"/>
      <c r="AQ66" s="183"/>
      <c r="AR66" s="183"/>
      <c r="AS66" s="183"/>
      <c r="AT66" s="183"/>
      <c r="AU66" s="183"/>
      <c r="AV66" s="183"/>
    </row>
    <row r="67" spans="3:48" s="182" customFormat="1" ht="15" customHeight="1">
      <c r="C67" s="287" t="s">
        <v>118</v>
      </c>
      <c r="D67" s="287"/>
      <c r="E67" s="287"/>
      <c r="F67" s="216">
        <f aca="true" t="shared" si="19" ref="F67:K67">F60+F65</f>
        <v>77.03</v>
      </c>
      <c r="G67" s="216">
        <f t="shared" si="19"/>
        <v>5.390000000000001</v>
      </c>
      <c r="H67" s="216">
        <f t="shared" si="19"/>
        <v>74.25</v>
      </c>
      <c r="I67" s="216">
        <f t="shared" si="19"/>
        <v>35.91</v>
      </c>
      <c r="J67" s="216">
        <f t="shared" si="19"/>
        <v>76.41</v>
      </c>
      <c r="K67" s="216">
        <f t="shared" si="19"/>
        <v>104.03999999999999</v>
      </c>
      <c r="M67" s="154" t="s">
        <v>117</v>
      </c>
      <c r="N67" s="154" t="s">
        <v>486</v>
      </c>
      <c r="O67" s="154" t="s">
        <v>136</v>
      </c>
      <c r="P67" s="155" t="s">
        <v>0</v>
      </c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E67" s="183"/>
      <c r="AF67" s="183"/>
      <c r="AI67" s="232" t="s">
        <v>7</v>
      </c>
      <c r="AJ67" s="155" t="s">
        <v>4</v>
      </c>
      <c r="AK67"/>
      <c r="AN67" s="183"/>
      <c r="AO67" s="183"/>
      <c r="AP67" s="183"/>
      <c r="AQ67" s="183"/>
      <c r="AR67" s="183"/>
      <c r="AS67" s="183"/>
      <c r="AT67" s="183"/>
      <c r="AU67" s="183"/>
      <c r="AV67" s="183"/>
    </row>
    <row r="68" spans="3:48" s="182" customFormat="1" ht="15" customHeight="1">
      <c r="C68" s="268" t="s">
        <v>478</v>
      </c>
      <c r="D68" s="268"/>
      <c r="E68" s="268"/>
      <c r="F68" s="268"/>
      <c r="G68" s="268"/>
      <c r="H68" s="268"/>
      <c r="I68" s="268"/>
      <c r="J68" s="268"/>
      <c r="K68" s="268"/>
      <c r="M68" s="144" t="s">
        <v>249</v>
      </c>
      <c r="N68" s="28">
        <f>G59</f>
        <v>1.21</v>
      </c>
      <c r="O68" s="28">
        <f>I44</f>
        <v>0.47</v>
      </c>
      <c r="P68" s="156">
        <f>N68+O68</f>
        <v>1.68</v>
      </c>
      <c r="U68" s="105" t="s">
        <v>205</v>
      </c>
      <c r="V68" s="166">
        <f>6.3+6.1+4.25+1.85</f>
        <v>18.5</v>
      </c>
      <c r="W68" s="107"/>
      <c r="X68" s="105" t="s">
        <v>205</v>
      </c>
      <c r="Y68" s="166">
        <f>5+1.3</f>
        <v>6.3</v>
      </c>
      <c r="Z68" s="183"/>
      <c r="AA68" s="183"/>
      <c r="AE68" s="183"/>
      <c r="AF68" s="183"/>
      <c r="AI68" s="28" t="s">
        <v>76</v>
      </c>
      <c r="AJ68" s="28">
        <v>21.5</v>
      </c>
      <c r="AK68"/>
      <c r="AN68" s="183"/>
      <c r="AO68" s="183"/>
      <c r="AP68" s="183"/>
      <c r="AQ68" s="183"/>
      <c r="AR68" s="183"/>
      <c r="AS68" s="183"/>
      <c r="AT68" s="183"/>
      <c r="AU68" s="183"/>
      <c r="AV68" s="183"/>
    </row>
    <row r="69" spans="3:48" s="182" customFormat="1" ht="15" customHeight="1">
      <c r="C69" s="183"/>
      <c r="D69" s="184"/>
      <c r="E69" s="184"/>
      <c r="F69" s="184"/>
      <c r="G69" s="184"/>
      <c r="H69" s="184"/>
      <c r="I69" s="7"/>
      <c r="U69" s="183"/>
      <c r="V69" s="183"/>
      <c r="W69" s="183"/>
      <c r="X69" s="183"/>
      <c r="Y69" s="183"/>
      <c r="Z69" s="183"/>
      <c r="AA69" s="183"/>
      <c r="AE69" s="277" t="s">
        <v>538</v>
      </c>
      <c r="AF69" s="277"/>
      <c r="AI69" s="28" t="s">
        <v>77</v>
      </c>
      <c r="AJ69" s="28">
        <v>4.1</v>
      </c>
      <c r="AK69"/>
      <c r="AN69" s="183"/>
      <c r="AO69" s="183"/>
      <c r="AP69" s="183"/>
      <c r="AQ69" s="183"/>
      <c r="AR69" s="183"/>
      <c r="AS69" s="183"/>
      <c r="AT69" s="183"/>
      <c r="AU69" s="183"/>
      <c r="AV69" s="183"/>
    </row>
    <row r="70" spans="3:48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E70" s="155" t="s">
        <v>7</v>
      </c>
      <c r="AF70" s="155" t="s">
        <v>4</v>
      </c>
      <c r="AI70" s="28" t="s">
        <v>41</v>
      </c>
      <c r="AJ70" s="28">
        <v>2.59</v>
      </c>
      <c r="AK70"/>
      <c r="AP70" s="183"/>
      <c r="AQ70" s="183"/>
      <c r="AR70" s="183"/>
      <c r="AS70" s="183"/>
      <c r="AT70" s="183"/>
      <c r="AU70" s="183"/>
      <c r="AV70" s="183"/>
    </row>
    <row r="71" spans="3:48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44" t="s">
        <v>205</v>
      </c>
      <c r="AF71" s="156">
        <f>ROUND(0.3152*2+1.2208+0.1604+0.3563+0.0683,2)</f>
        <v>2.44</v>
      </c>
      <c r="AI71" s="28" t="s">
        <v>97</v>
      </c>
      <c r="AJ71" s="28">
        <v>8.19</v>
      </c>
      <c r="AK71"/>
      <c r="AP71" s="183"/>
      <c r="AQ71" s="183"/>
      <c r="AR71" s="183"/>
      <c r="AS71" s="183"/>
      <c r="AT71" s="183"/>
      <c r="AU71" s="183"/>
      <c r="AV71" s="183"/>
    </row>
    <row r="72" spans="3:48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I72" s="233" t="s">
        <v>0</v>
      </c>
      <c r="AJ72" s="156">
        <f>ROUND(SUM(AJ68:AJ71),2)</f>
        <v>36.38</v>
      </c>
      <c r="AK72"/>
      <c r="AP72" s="183"/>
      <c r="AQ72" s="183"/>
      <c r="AR72" s="183"/>
      <c r="AS72" s="183"/>
      <c r="AT72" s="183"/>
      <c r="AU72" s="183"/>
      <c r="AV72" s="183"/>
    </row>
    <row r="73" spans="3:48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H73"/>
      <c r="AK73" s="183"/>
      <c r="AP73" s="183"/>
      <c r="AQ73" s="183"/>
      <c r="AR73" s="183"/>
      <c r="AS73" s="183"/>
      <c r="AT73" s="183"/>
      <c r="AU73" s="183"/>
      <c r="AV73" s="183"/>
    </row>
    <row r="74" spans="3:48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E74"/>
      <c r="AF74"/>
      <c r="AG74" s="91"/>
      <c r="AH74"/>
      <c r="AI74" s="183"/>
      <c r="AJ74" s="183"/>
      <c r="AK74" s="183"/>
      <c r="AP74" s="183"/>
      <c r="AQ74" s="183"/>
      <c r="AR74" s="183"/>
      <c r="AS74" s="183"/>
      <c r="AT74" s="183"/>
      <c r="AU74" s="183"/>
      <c r="AV74" s="183"/>
    </row>
    <row r="75" spans="4:39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/>
      <c r="AF75"/>
      <c r="AG75" s="91"/>
      <c r="AH75"/>
      <c r="AL75" s="182"/>
      <c r="AM75" s="182"/>
    </row>
    <row r="76" spans="4:38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/>
      <c r="AF76"/>
      <c r="AG76" s="91"/>
      <c r="AH76"/>
      <c r="AL76" s="182"/>
    </row>
    <row r="77" spans="4:34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/>
      <c r="AF77"/>
      <c r="AG77" s="91"/>
      <c r="AH77"/>
    </row>
    <row r="78" spans="4:34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/>
      <c r="AF78"/>
      <c r="AG78" s="91"/>
      <c r="AH78"/>
    </row>
    <row r="79" spans="4:34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/>
      <c r="AF79"/>
      <c r="AG79" s="91"/>
      <c r="AH79"/>
    </row>
    <row r="80" spans="4:36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E80"/>
      <c r="AF80"/>
      <c r="AG80" s="91"/>
      <c r="AH80"/>
      <c r="AI80"/>
      <c r="AJ80"/>
    </row>
    <row r="81" spans="4:36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E81"/>
      <c r="AF81"/>
      <c r="AH81"/>
      <c r="AI81"/>
      <c r="AJ81"/>
    </row>
    <row r="82" spans="4:36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</row>
    <row r="83" spans="4:36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E83"/>
      <c r="AF83"/>
      <c r="AH83"/>
      <c r="AI83"/>
      <c r="AJ83"/>
    </row>
    <row r="84" spans="4:36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E84"/>
      <c r="AF84"/>
      <c r="AH84"/>
      <c r="AI84"/>
      <c r="AJ84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E85"/>
      <c r="AF85"/>
      <c r="AG85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E86"/>
      <c r="AF86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E87"/>
      <c r="AF87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E88"/>
      <c r="AF88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E89"/>
      <c r="AF89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E90"/>
      <c r="AF90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7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  <c r="AK111"/>
    </row>
    <row r="112" spans="4:37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  <c r="AK112"/>
    </row>
    <row r="113" spans="4:37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  <c r="AK113"/>
    </row>
    <row r="114" spans="4:44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  <c r="AK114"/>
      <c r="AR114"/>
    </row>
    <row r="115" spans="4:4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  <c r="AK115"/>
      <c r="AR115"/>
      <c r="AS115"/>
      <c r="AT115"/>
    </row>
    <row r="116" spans="4:4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  <c r="AK116"/>
      <c r="AO116"/>
      <c r="AP116"/>
      <c r="AQ116"/>
      <c r="AR116"/>
      <c r="AS116"/>
      <c r="AT116"/>
    </row>
    <row r="117" spans="4:4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U117"/>
      <c r="V117"/>
      <c r="W117"/>
      <c r="X117"/>
      <c r="Y117"/>
      <c r="Z117"/>
      <c r="AE117"/>
      <c r="AF117"/>
      <c r="AG117"/>
      <c r="AH117"/>
      <c r="AI117"/>
      <c r="AJ117"/>
      <c r="AK117"/>
      <c r="AN117"/>
      <c r="AO117"/>
      <c r="AP117"/>
      <c r="AQ117"/>
      <c r="AR117"/>
      <c r="AS117"/>
      <c r="AT117"/>
    </row>
    <row r="118" spans="4:46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Z118"/>
      <c r="AE118"/>
      <c r="AF118"/>
      <c r="AG118"/>
      <c r="AH118"/>
      <c r="AI118"/>
      <c r="AJ118"/>
      <c r="AK118"/>
      <c r="AN118"/>
      <c r="AO118"/>
      <c r="AP118"/>
      <c r="AQ118"/>
      <c r="AR118"/>
      <c r="AS118"/>
      <c r="AT118"/>
    </row>
    <row r="119" spans="4:46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  <c r="AN119"/>
      <c r="AO119"/>
      <c r="AP119"/>
      <c r="AQ119"/>
      <c r="AR119"/>
      <c r="AS119"/>
      <c r="AT119"/>
    </row>
    <row r="120" spans="4:48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  <c r="AN120"/>
      <c r="AO120"/>
      <c r="AP120"/>
      <c r="AQ120"/>
      <c r="AR120"/>
      <c r="AS120"/>
      <c r="AT120"/>
      <c r="AU120"/>
      <c r="AV120"/>
    </row>
    <row r="121" spans="4:48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  <c r="AN121"/>
      <c r="AO121"/>
      <c r="AP121"/>
      <c r="AQ121"/>
      <c r="AR121"/>
      <c r="AS121"/>
      <c r="AT121"/>
      <c r="AU121"/>
      <c r="AV121"/>
    </row>
    <row r="122" spans="4:48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E122"/>
      <c r="AF122"/>
      <c r="AG122"/>
      <c r="AH122"/>
      <c r="AI122"/>
      <c r="AJ122"/>
      <c r="AK122"/>
      <c r="AN122"/>
      <c r="AO122"/>
      <c r="AP122"/>
      <c r="AQ122"/>
      <c r="AR122"/>
      <c r="AS122"/>
      <c r="AT122"/>
      <c r="AU122"/>
      <c r="AV122"/>
    </row>
    <row r="123" spans="4:48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E123"/>
      <c r="AF123"/>
      <c r="AG123"/>
      <c r="AH123"/>
      <c r="AI123"/>
      <c r="AJ123"/>
      <c r="AK123"/>
      <c r="AN123"/>
      <c r="AO123"/>
      <c r="AP123"/>
      <c r="AQ123"/>
      <c r="AR123"/>
      <c r="AS123"/>
      <c r="AT123"/>
      <c r="AU123"/>
      <c r="AV123"/>
    </row>
    <row r="124" spans="4:48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N124"/>
      <c r="AO124"/>
      <c r="AP124"/>
      <c r="AQ124"/>
      <c r="AR124"/>
      <c r="AS124"/>
      <c r="AT124"/>
      <c r="AU124"/>
      <c r="AV124"/>
    </row>
    <row r="125" spans="4:48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  <c r="AU125"/>
      <c r="AV125"/>
    </row>
    <row r="126" spans="4:48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  <c r="AU126"/>
      <c r="AV126"/>
    </row>
    <row r="127" spans="4:48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  <c r="AU127"/>
      <c r="AV127"/>
    </row>
    <row r="128" spans="4:48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  <c r="AU128"/>
      <c r="AV128"/>
    </row>
    <row r="129" spans="4:48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  <c r="AU129"/>
      <c r="AV129"/>
    </row>
    <row r="130" spans="4:48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N130"/>
      <c r="AO130"/>
      <c r="AP130"/>
      <c r="AQ130"/>
      <c r="AR130"/>
      <c r="AS130"/>
      <c r="AT130"/>
      <c r="AU130"/>
      <c r="AV130"/>
    </row>
    <row r="131" spans="4:48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N131"/>
      <c r="AO131"/>
      <c r="AP131"/>
      <c r="AQ131"/>
      <c r="AR131"/>
      <c r="AS131"/>
      <c r="AT131"/>
      <c r="AU131"/>
      <c r="AV131"/>
    </row>
    <row r="132" spans="38:39" ht="12.75">
      <c r="AL132" s="183"/>
      <c r="AM132" s="183"/>
    </row>
    <row r="133" ht="12.75">
      <c r="AL133" s="183"/>
    </row>
  </sheetData>
  <sheetProtection/>
  <mergeCells count="182">
    <mergeCell ref="AN7:AV7"/>
    <mergeCell ref="AN27:AR27"/>
    <mergeCell ref="AN31:AR31"/>
    <mergeCell ref="AN32:AQ32"/>
    <mergeCell ref="AN25:AR25"/>
    <mergeCell ref="AN44:AT44"/>
    <mergeCell ref="AN9:AN11"/>
    <mergeCell ref="AO10:AO11"/>
    <mergeCell ref="AP9:AP11"/>
    <mergeCell ref="AQ9:AQ11"/>
    <mergeCell ref="AR9:AR11"/>
    <mergeCell ref="AS9:AS11"/>
    <mergeCell ref="AT9:AT11"/>
    <mergeCell ref="AN16:AV16"/>
    <mergeCell ref="AN18:AV18"/>
    <mergeCell ref="AN20:AO20"/>
    <mergeCell ref="AU9:AU11"/>
    <mergeCell ref="AV9:AV11"/>
    <mergeCell ref="AN64:AO64"/>
    <mergeCell ref="AN47:AO47"/>
    <mergeCell ref="AN48:AO48"/>
    <mergeCell ref="AR46:AT46"/>
    <mergeCell ref="AR47:AS47"/>
    <mergeCell ref="AR48:AS48"/>
    <mergeCell ref="AN62:AO62"/>
    <mergeCell ref="AN51:AO51"/>
    <mergeCell ref="AR51:AT51"/>
    <mergeCell ref="AR52:AS52"/>
    <mergeCell ref="AH57:AJ57"/>
    <mergeCell ref="AH59:AK59"/>
    <mergeCell ref="AN35:AR35"/>
    <mergeCell ref="AN39:AR39"/>
    <mergeCell ref="AN40:AQ40"/>
    <mergeCell ref="AN46:AP46"/>
    <mergeCell ref="AH44:AH45"/>
    <mergeCell ref="AI44:AI45"/>
    <mergeCell ref="AJ44:AJ45"/>
    <mergeCell ref="AK44:AK45"/>
    <mergeCell ref="AN21:AO21"/>
    <mergeCell ref="AE33:AE34"/>
    <mergeCell ref="AF33:AF34"/>
    <mergeCell ref="AG33:AG34"/>
    <mergeCell ref="AH33:AH34"/>
    <mergeCell ref="AI33:AI34"/>
    <mergeCell ref="AF22:AF23"/>
    <mergeCell ref="AE30:AI30"/>
    <mergeCell ref="AE41:AK41"/>
    <mergeCell ref="AE37:AI37"/>
    <mergeCell ref="AE38:AH38"/>
    <mergeCell ref="AI66:AJ66"/>
    <mergeCell ref="AE43:AF43"/>
    <mergeCell ref="AH43:AK43"/>
    <mergeCell ref="AH48:AK48"/>
    <mergeCell ref="AH49:AJ49"/>
    <mergeCell ref="AE50:AF50"/>
    <mergeCell ref="AH52:AK52"/>
    <mergeCell ref="AF10:AF11"/>
    <mergeCell ref="AG10:AG11"/>
    <mergeCell ref="AH10:AH11"/>
    <mergeCell ref="AI10:AI11"/>
    <mergeCell ref="AE22:AE23"/>
    <mergeCell ref="AE32:AI32"/>
    <mergeCell ref="AG22:AG23"/>
    <mergeCell ref="AE7:AJ7"/>
    <mergeCell ref="AE9:AI9"/>
    <mergeCell ref="AE17:AI17"/>
    <mergeCell ref="AE18:AH18"/>
    <mergeCell ref="AE21:AJ21"/>
    <mergeCell ref="AE29:AJ29"/>
    <mergeCell ref="AH22:AH23"/>
    <mergeCell ref="AI22:AI23"/>
    <mergeCell ref="AJ22:AJ23"/>
    <mergeCell ref="AE10:AE11"/>
    <mergeCell ref="U58:Y58"/>
    <mergeCell ref="U62:Y62"/>
    <mergeCell ref="U24:Y24"/>
    <mergeCell ref="V32:W32"/>
    <mergeCell ref="U31:Y31"/>
    <mergeCell ref="U52:Z52"/>
    <mergeCell ref="U9:AA9"/>
    <mergeCell ref="U20:AA20"/>
    <mergeCell ref="U66:V66"/>
    <mergeCell ref="X66:Y66"/>
    <mergeCell ref="U32:U34"/>
    <mergeCell ref="X32:Y32"/>
    <mergeCell ref="V10:W11"/>
    <mergeCell ref="V12:W12"/>
    <mergeCell ref="V17:W17"/>
    <mergeCell ref="V18:W18"/>
    <mergeCell ref="C29:M29"/>
    <mergeCell ref="Z10:Z11"/>
    <mergeCell ref="AA10:AA11"/>
    <mergeCell ref="J19:M19"/>
    <mergeCell ref="U63:X63"/>
    <mergeCell ref="P48:R48"/>
    <mergeCell ref="P49:R49"/>
    <mergeCell ref="V19:W19"/>
    <mergeCell ref="U38:Z38"/>
    <mergeCell ref="U56:Y56"/>
    <mergeCell ref="U21:Z21"/>
    <mergeCell ref="U10:U11"/>
    <mergeCell ref="X10:X11"/>
    <mergeCell ref="I10:J10"/>
    <mergeCell ref="O10:P10"/>
    <mergeCell ref="O11:P11"/>
    <mergeCell ref="I12:M12"/>
    <mergeCell ref="O12:Q12"/>
    <mergeCell ref="Y10:Y11"/>
    <mergeCell ref="V13:W13"/>
    <mergeCell ref="M66:P66"/>
    <mergeCell ref="M61:P61"/>
    <mergeCell ref="P36:R36"/>
    <mergeCell ref="P37:R37"/>
    <mergeCell ref="P39:R39"/>
    <mergeCell ref="P44:R44"/>
    <mergeCell ref="P45:R45"/>
    <mergeCell ref="C2:H3"/>
    <mergeCell ref="C4:R4"/>
    <mergeCell ref="C15:R15"/>
    <mergeCell ref="C17:R17"/>
    <mergeCell ref="C18:M18"/>
    <mergeCell ref="N18:R19"/>
    <mergeCell ref="C19:I19"/>
    <mergeCell ref="C10:D10"/>
    <mergeCell ref="C11:D11"/>
    <mergeCell ref="C12:G12"/>
    <mergeCell ref="C64:E64"/>
    <mergeCell ref="C59:E59"/>
    <mergeCell ref="C60:E60"/>
    <mergeCell ref="C62:K62"/>
    <mergeCell ref="C63:E63"/>
    <mergeCell ref="O33:R33"/>
    <mergeCell ref="G34:M34"/>
    <mergeCell ref="P35:R35"/>
    <mergeCell ref="I55:I56"/>
    <mergeCell ref="J55:J56"/>
    <mergeCell ref="P53:R53"/>
    <mergeCell ref="M56:R56"/>
    <mergeCell ref="M57:O57"/>
    <mergeCell ref="K55:K56"/>
    <mergeCell ref="H55:H56"/>
    <mergeCell ref="M58:O58"/>
    <mergeCell ref="V14:W14"/>
    <mergeCell ref="V15:W15"/>
    <mergeCell ref="V16:W16"/>
    <mergeCell ref="C53:E56"/>
    <mergeCell ref="F53:K53"/>
    <mergeCell ref="C46:G47"/>
    <mergeCell ref="C48:G48"/>
    <mergeCell ref="P47:R47"/>
    <mergeCell ref="P51:R51"/>
    <mergeCell ref="P52:R52"/>
    <mergeCell ref="U7:AA7"/>
    <mergeCell ref="C7:R7"/>
    <mergeCell ref="U40:Z40"/>
    <mergeCell ref="U45:Z45"/>
    <mergeCell ref="U48:Z48"/>
    <mergeCell ref="P40:R40"/>
    <mergeCell ref="P41:R41"/>
    <mergeCell ref="P43:R43"/>
    <mergeCell ref="C33:M33"/>
    <mergeCell ref="C9:G9"/>
    <mergeCell ref="AR53:AS53"/>
    <mergeCell ref="AN56:AO56"/>
    <mergeCell ref="O9:R9"/>
    <mergeCell ref="I11:J11"/>
    <mergeCell ref="I9:M9"/>
    <mergeCell ref="AE64:AF64"/>
    <mergeCell ref="C57:K57"/>
    <mergeCell ref="C34:F34"/>
    <mergeCell ref="C52:K52"/>
    <mergeCell ref="F54:F56"/>
    <mergeCell ref="AE69:AF69"/>
    <mergeCell ref="AH64:AK64"/>
    <mergeCell ref="AE55:AF55"/>
    <mergeCell ref="C68:K68"/>
    <mergeCell ref="C65:E65"/>
    <mergeCell ref="C44:F44"/>
    <mergeCell ref="C67:E67"/>
    <mergeCell ref="I54:K54"/>
    <mergeCell ref="G55:G56"/>
    <mergeCell ref="C58:E58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2:AV141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7109375" style="7" customWidth="1"/>
    <col min="10" max="10" width="8.7109375" style="182" customWidth="1"/>
    <col min="11" max="12" width="7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40" max="40" width="22.7109375" style="0" bestFit="1" customWidth="1"/>
    <col min="41" max="48" width="11.00390625" style="0" customWidth="1"/>
  </cols>
  <sheetData>
    <row r="2" spans="3:8" ht="12.75">
      <c r="C2" s="308"/>
      <c r="D2" s="308"/>
      <c r="E2" s="308"/>
      <c r="F2" s="308"/>
      <c r="G2" s="308"/>
      <c r="H2" s="308"/>
    </row>
    <row r="3" spans="3:8" ht="13.5" thickBot="1">
      <c r="C3" s="308"/>
      <c r="D3" s="308"/>
      <c r="E3" s="308"/>
      <c r="F3" s="308"/>
      <c r="G3" s="308"/>
      <c r="H3" s="308"/>
    </row>
    <row r="4" spans="3:18" s="24" customFormat="1" ht="19.5" thickBot="1">
      <c r="C4" s="272" t="s">
        <v>445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4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3:48" s="24" customFormat="1" ht="15" customHeight="1">
      <c r="C7" s="269" t="s">
        <v>479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U7" s="269" t="s">
        <v>490</v>
      </c>
      <c r="V7" s="269"/>
      <c r="W7" s="269"/>
      <c r="X7" s="269"/>
      <c r="Y7" s="269"/>
      <c r="Z7" s="269"/>
      <c r="AA7" s="269"/>
      <c r="AB7" s="159"/>
      <c r="AC7" s="159"/>
      <c r="AE7" s="269" t="s">
        <v>496</v>
      </c>
      <c r="AF7" s="269"/>
      <c r="AG7" s="269"/>
      <c r="AH7" s="269"/>
      <c r="AI7" s="269"/>
      <c r="AJ7" s="269"/>
      <c r="AK7" s="159"/>
      <c r="AN7" s="269" t="s">
        <v>497</v>
      </c>
      <c r="AO7" s="269"/>
      <c r="AP7" s="269"/>
      <c r="AQ7" s="269"/>
      <c r="AR7" s="269"/>
      <c r="AS7" s="269"/>
      <c r="AT7" s="159"/>
      <c r="AU7"/>
      <c r="AV7" s="182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82"/>
      <c r="AO8" s="159"/>
      <c r="AP8" s="23"/>
      <c r="AQ8" s="23"/>
      <c r="AR8" s="23"/>
      <c r="AS8" s="23"/>
      <c r="AT8"/>
      <c r="AU8"/>
      <c r="AV8" s="182"/>
    </row>
    <row r="9" spans="6:48" s="24" customFormat="1" ht="15" customHeight="1">
      <c r="F9" s="263" t="s">
        <v>480</v>
      </c>
      <c r="G9" s="263"/>
      <c r="H9" s="263"/>
      <c r="I9" s="263"/>
      <c r="K9" s="218"/>
      <c r="L9" s="263" t="s">
        <v>481</v>
      </c>
      <c r="M9" s="263"/>
      <c r="N9" s="263"/>
      <c r="O9" s="263"/>
      <c r="U9" s="283" t="s">
        <v>491</v>
      </c>
      <c r="V9" s="283"/>
      <c r="W9" s="283"/>
      <c r="X9" s="283"/>
      <c r="Y9" s="283"/>
      <c r="Z9" s="283"/>
      <c r="AA9" s="283"/>
      <c r="AE9" s="339" t="s">
        <v>206</v>
      </c>
      <c r="AF9" s="339"/>
      <c r="AG9" s="339"/>
      <c r="AH9" s="339"/>
      <c r="AI9" s="339"/>
      <c r="AJ9" s="159"/>
      <c r="AN9" s="343" t="s">
        <v>213</v>
      </c>
      <c r="AO9" s="343"/>
      <c r="AP9" s="182"/>
      <c r="AQ9" s="343" t="s">
        <v>509</v>
      </c>
      <c r="AR9" s="343"/>
      <c r="AS9" s="343"/>
      <c r="AT9"/>
      <c r="AU9"/>
      <c r="AV9" s="182"/>
    </row>
    <row r="10" spans="6:48" s="24" customFormat="1" ht="15" customHeight="1">
      <c r="F10" s="217" t="s">
        <v>117</v>
      </c>
      <c r="G10" s="217" t="s">
        <v>57</v>
      </c>
      <c r="H10" s="217" t="s">
        <v>59</v>
      </c>
      <c r="I10" s="217" t="s">
        <v>0</v>
      </c>
      <c r="K10" s="218"/>
      <c r="L10" s="262" t="s">
        <v>117</v>
      </c>
      <c r="M10" s="262" t="s">
        <v>57</v>
      </c>
      <c r="N10" s="262" t="s">
        <v>59</v>
      </c>
      <c r="O10" s="262" t="s">
        <v>0</v>
      </c>
      <c r="U10" s="263" t="s">
        <v>56</v>
      </c>
      <c r="V10" s="334" t="s">
        <v>7</v>
      </c>
      <c r="W10" s="335"/>
      <c r="X10" s="263" t="s">
        <v>57</v>
      </c>
      <c r="Y10" s="263" t="s">
        <v>58</v>
      </c>
      <c r="Z10" s="328" t="s">
        <v>63</v>
      </c>
      <c r="AA10" s="263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N10" s="232" t="s">
        <v>7</v>
      </c>
      <c r="AO10" s="155" t="s">
        <v>4</v>
      </c>
      <c r="AP10" s="182"/>
      <c r="AQ10" s="306" t="s">
        <v>7</v>
      </c>
      <c r="AR10" s="306"/>
      <c r="AS10" s="155" t="s">
        <v>4</v>
      </c>
      <c r="AT10"/>
      <c r="AU10"/>
      <c r="AV10" s="182"/>
    </row>
    <row r="11" spans="6:48" s="24" customFormat="1" ht="15" customHeight="1">
      <c r="F11" s="158" t="s">
        <v>100</v>
      </c>
      <c r="G11" s="28">
        <v>7.05</v>
      </c>
      <c r="H11" s="28">
        <v>4.51</v>
      </c>
      <c r="I11" s="156">
        <f>ROUND(((G11+2)*2)+((H11+2)*2),2)</f>
        <v>31.12</v>
      </c>
      <c r="K11" s="218"/>
      <c r="L11" s="158" t="s">
        <v>100</v>
      </c>
      <c r="M11" s="28">
        <v>7.05</v>
      </c>
      <c r="N11" s="28">
        <v>4.51</v>
      </c>
      <c r="O11" s="156">
        <f>ROUND((M11+2)*(N11+2),2)</f>
        <v>58.92</v>
      </c>
      <c r="U11" s="263"/>
      <c r="V11" s="336"/>
      <c r="W11" s="337"/>
      <c r="X11" s="263"/>
      <c r="Y11" s="263"/>
      <c r="Z11" s="328"/>
      <c r="AA11" s="263"/>
      <c r="AE11" s="28" t="s">
        <v>98</v>
      </c>
      <c r="AF11" s="28">
        <v>8.41</v>
      </c>
      <c r="AG11" s="28">
        <v>3</v>
      </c>
      <c r="AH11" s="28">
        <f>1.6*2.1+0.8*2.1</f>
        <v>5.040000000000001</v>
      </c>
      <c r="AI11" s="28">
        <f aca="true" t="shared" si="0" ref="AI11:AI16">AF11*AG11-AH11</f>
        <v>20.189999999999998</v>
      </c>
      <c r="AJ11" s="49"/>
      <c r="AN11" s="28" t="s">
        <v>98</v>
      </c>
      <c r="AO11" s="28">
        <v>4.22</v>
      </c>
      <c r="AP11" s="182"/>
      <c r="AQ11" s="281" t="s">
        <v>104</v>
      </c>
      <c r="AR11" s="281"/>
      <c r="AS11" s="156">
        <v>12.4</v>
      </c>
      <c r="AT11"/>
      <c r="AU11" s="182"/>
      <c r="AV11" s="182"/>
    </row>
    <row r="12" spans="6:48" s="24" customFormat="1" ht="15" customHeight="1">
      <c r="F12" s="352" t="s">
        <v>540</v>
      </c>
      <c r="G12" s="353"/>
      <c r="H12" s="353"/>
      <c r="I12" s="354"/>
      <c r="K12" s="261"/>
      <c r="L12" s="352" t="s">
        <v>542</v>
      </c>
      <c r="M12" s="353"/>
      <c r="N12" s="353"/>
      <c r="O12" s="354"/>
      <c r="U12" s="158" t="s">
        <v>42</v>
      </c>
      <c r="V12" s="293" t="s">
        <v>78</v>
      </c>
      <c r="W12" s="294"/>
      <c r="X12" s="28">
        <v>4.51</v>
      </c>
      <c r="Y12" s="28">
        <v>4.37</v>
      </c>
      <c r="Z12" s="28">
        <f>1.6*2.1</f>
        <v>3.3600000000000003</v>
      </c>
      <c r="AA12" s="28">
        <f aca="true" t="shared" si="1" ref="AA12:AA22">X12*Y12-Z12</f>
        <v>16.3487</v>
      </c>
      <c r="AE12" s="28" t="s">
        <v>99</v>
      </c>
      <c r="AF12" s="28">
        <v>6.3</v>
      </c>
      <c r="AG12" s="28">
        <v>3</v>
      </c>
      <c r="AH12" s="28">
        <f>0.8*2.1+0.8*0.8</f>
        <v>2.3200000000000003</v>
      </c>
      <c r="AI12" s="28">
        <f t="shared" si="0"/>
        <v>16.58</v>
      </c>
      <c r="AJ12" s="49"/>
      <c r="AN12" s="28" t="s">
        <v>99</v>
      </c>
      <c r="AO12" s="28">
        <v>2.47</v>
      </c>
      <c r="AP12" s="182"/>
      <c r="AQ12"/>
      <c r="AR12"/>
      <c r="AS12" s="34"/>
      <c r="AT12"/>
      <c r="AU12" s="182"/>
      <c r="AV12" s="182"/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U13" s="158" t="s">
        <v>42</v>
      </c>
      <c r="V13" s="293" t="s">
        <v>79</v>
      </c>
      <c r="W13" s="294"/>
      <c r="X13" s="28">
        <v>4.51</v>
      </c>
      <c r="Y13" s="28">
        <v>4.37</v>
      </c>
      <c r="Z13" s="28">
        <v>0</v>
      </c>
      <c r="AA13" s="28">
        <f t="shared" si="1"/>
        <v>19.7087</v>
      </c>
      <c r="AE13" s="28" t="s">
        <v>104</v>
      </c>
      <c r="AF13" s="28">
        <v>18.55</v>
      </c>
      <c r="AG13" s="28">
        <v>3</v>
      </c>
      <c r="AH13" s="28">
        <f>3*0.8*2.1+0.55*0.6</f>
        <v>5.370000000000001</v>
      </c>
      <c r="AI13" s="28">
        <f t="shared" si="0"/>
        <v>50.28</v>
      </c>
      <c r="AJ13" s="49"/>
      <c r="AN13" s="28" t="s">
        <v>101</v>
      </c>
      <c r="AO13" s="28">
        <v>3.73</v>
      </c>
      <c r="AP13" s="182"/>
      <c r="AQ13"/>
      <c r="AR13"/>
      <c r="AS13" s="34"/>
      <c r="AT13"/>
      <c r="AU13" s="182"/>
      <c r="AV13" s="182"/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U14" s="158" t="s">
        <v>43</v>
      </c>
      <c r="V14" s="293" t="s">
        <v>81</v>
      </c>
      <c r="W14" s="294"/>
      <c r="X14" s="28">
        <v>6.75</v>
      </c>
      <c r="Y14" s="28">
        <v>4.37</v>
      </c>
      <c r="Z14" s="28">
        <f>0.8*0.8</f>
        <v>0.6400000000000001</v>
      </c>
      <c r="AA14" s="28">
        <f t="shared" si="1"/>
        <v>28.8575</v>
      </c>
      <c r="AE14" s="28" t="s">
        <v>101</v>
      </c>
      <c r="AF14" s="28">
        <v>7.98</v>
      </c>
      <c r="AG14" s="28">
        <v>3</v>
      </c>
      <c r="AH14" s="28">
        <f>2*0.8*2.1+0.37*0.6</f>
        <v>3.5820000000000003</v>
      </c>
      <c r="AI14" s="28">
        <f t="shared" si="0"/>
        <v>20.358</v>
      </c>
      <c r="AJ14" s="49"/>
      <c r="AN14" s="28" t="s">
        <v>102</v>
      </c>
      <c r="AO14" s="28">
        <v>3.47</v>
      </c>
      <c r="AP14" s="182"/>
      <c r="AQ14"/>
      <c r="AR14"/>
      <c r="AS14" s="34"/>
      <c r="AT14"/>
      <c r="AU14" s="182"/>
      <c r="AV14" s="182"/>
    </row>
    <row r="15" spans="3:48" s="24" customFormat="1" ht="15" customHeight="1">
      <c r="C15" s="356" t="s">
        <v>471</v>
      </c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U15" s="158" t="s">
        <v>43</v>
      </c>
      <c r="V15" s="293" t="s">
        <v>82</v>
      </c>
      <c r="W15" s="294"/>
      <c r="X15" s="28">
        <v>6.75</v>
      </c>
      <c r="Y15" s="28">
        <v>4.37</v>
      </c>
      <c r="Z15" s="28">
        <v>0</v>
      </c>
      <c r="AA15" s="28">
        <f t="shared" si="1"/>
        <v>29.497500000000002</v>
      </c>
      <c r="AE15" s="28" t="s">
        <v>102</v>
      </c>
      <c r="AF15" s="28">
        <v>7.63</v>
      </c>
      <c r="AG15" s="28">
        <v>3</v>
      </c>
      <c r="AH15" s="28">
        <f>0.8*2.1+0.37*0.6</f>
        <v>1.9020000000000001</v>
      </c>
      <c r="AI15" s="28">
        <f t="shared" si="0"/>
        <v>20.988</v>
      </c>
      <c r="AJ15" s="49"/>
      <c r="AN15" s="233" t="s">
        <v>0</v>
      </c>
      <c r="AO15" s="156">
        <f>ROUND(SUM(AO11:AO14),2)</f>
        <v>13.89</v>
      </c>
      <c r="AP15" s="182"/>
      <c r="AQ15"/>
      <c r="AR15"/>
      <c r="AS15" s="34"/>
      <c r="AT15"/>
      <c r="AU15" s="182"/>
      <c r="AV15" s="183"/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293" t="s">
        <v>83</v>
      </c>
      <c r="W16" s="294"/>
      <c r="X16" s="28">
        <v>1.65</v>
      </c>
      <c r="Y16" s="28">
        <v>3</v>
      </c>
      <c r="Z16" s="28">
        <v>0</v>
      </c>
      <c r="AA16" s="28">
        <f t="shared" si="1"/>
        <v>4.949999999999999</v>
      </c>
      <c r="AE16" s="28" t="s">
        <v>506</v>
      </c>
      <c r="AF16" s="28">
        <v>23.12</v>
      </c>
      <c r="AG16" s="28">
        <v>4.37</v>
      </c>
      <c r="AH16" s="28">
        <f>1.6*2.1+0.8*0.8</f>
        <v>4</v>
      </c>
      <c r="AI16" s="28">
        <f t="shared" si="0"/>
        <v>97.0344</v>
      </c>
      <c r="AJ16" s="49"/>
      <c r="AN16" s="182"/>
      <c r="AO16" s="182"/>
      <c r="AP16" s="91"/>
      <c r="AQ16"/>
      <c r="AR16"/>
      <c r="AS16"/>
      <c r="AT16" s="183"/>
      <c r="AU16" s="182"/>
      <c r="AV16" s="183"/>
    </row>
    <row r="17" spans="3:48" s="24" customFormat="1" ht="15" customHeight="1">
      <c r="C17" s="357" t="s">
        <v>166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U17" s="158" t="s">
        <v>42</v>
      </c>
      <c r="V17" s="293" t="s">
        <v>84</v>
      </c>
      <c r="W17" s="294"/>
      <c r="X17" s="28">
        <v>1.5</v>
      </c>
      <c r="Y17" s="28">
        <v>3</v>
      </c>
      <c r="Z17" s="28">
        <v>0</v>
      </c>
      <c r="AA17" s="28">
        <f t="shared" si="1"/>
        <v>4.5</v>
      </c>
      <c r="AE17" s="268" t="s">
        <v>67</v>
      </c>
      <c r="AF17" s="268"/>
      <c r="AG17" s="268"/>
      <c r="AH17" s="268"/>
      <c r="AI17" s="268"/>
      <c r="AJ17" s="49"/>
      <c r="AN17"/>
      <c r="AO17"/>
      <c r="AP17" s="91"/>
      <c r="AQ17"/>
      <c r="AR17"/>
      <c r="AS17"/>
      <c r="AT17" s="183"/>
      <c r="AU17" s="182"/>
      <c r="AV17" s="183"/>
    </row>
    <row r="18" spans="3:48" s="24" customFormat="1" ht="15" customHeight="1">
      <c r="C18" s="312" t="s">
        <v>477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4"/>
      <c r="N18" s="315" t="s">
        <v>129</v>
      </c>
      <c r="O18" s="316"/>
      <c r="P18" s="316"/>
      <c r="Q18" s="316"/>
      <c r="R18" s="317"/>
      <c r="U18" s="158" t="s">
        <v>42</v>
      </c>
      <c r="V18" s="293" t="s">
        <v>87</v>
      </c>
      <c r="W18" s="294"/>
      <c r="X18" s="28">
        <v>2.56</v>
      </c>
      <c r="Y18" s="28">
        <v>3</v>
      </c>
      <c r="Z18" s="28">
        <f>0.8*2.1*2</f>
        <v>3.3600000000000003</v>
      </c>
      <c r="AA18" s="28">
        <f t="shared" si="1"/>
        <v>4.319999999999999</v>
      </c>
      <c r="AE18" s="340" t="s">
        <v>207</v>
      </c>
      <c r="AF18" s="340"/>
      <c r="AG18" s="340"/>
      <c r="AH18" s="340"/>
      <c r="AI18" s="160">
        <f>ROUND(SUM(AI11:AI16),2)</f>
        <v>225.43</v>
      </c>
      <c r="AJ18" s="49"/>
      <c r="AN18"/>
      <c r="AO18"/>
      <c r="AP18" s="91"/>
      <c r="AQ18"/>
      <c r="AR18"/>
      <c r="AS18"/>
      <c r="AT18" s="183"/>
      <c r="AU18" s="182"/>
      <c r="AV18" s="183"/>
    </row>
    <row r="19" spans="3:48" s="24" customFormat="1" ht="15" customHeight="1">
      <c r="C19" s="312" t="s">
        <v>163</v>
      </c>
      <c r="D19" s="313"/>
      <c r="E19" s="313"/>
      <c r="F19" s="313"/>
      <c r="G19" s="313"/>
      <c r="H19" s="313"/>
      <c r="I19" s="314"/>
      <c r="J19" s="329" t="s">
        <v>463</v>
      </c>
      <c r="K19" s="330"/>
      <c r="L19" s="330"/>
      <c r="M19" s="331"/>
      <c r="N19" s="318"/>
      <c r="O19" s="319"/>
      <c r="P19" s="319"/>
      <c r="Q19" s="319"/>
      <c r="R19" s="320"/>
      <c r="U19" s="158" t="s">
        <v>42</v>
      </c>
      <c r="V19" s="293" t="s">
        <v>85</v>
      </c>
      <c r="W19" s="294"/>
      <c r="X19" s="28">
        <v>1.5</v>
      </c>
      <c r="Y19" s="28">
        <v>3</v>
      </c>
      <c r="Z19" s="28">
        <f>0.8*2.1+0.37*0.6</f>
        <v>1.9020000000000001</v>
      </c>
      <c r="AA19" s="28">
        <f t="shared" si="1"/>
        <v>2.598</v>
      </c>
      <c r="AE19" s="27"/>
      <c r="AF19" s="38"/>
      <c r="AG19" s="39"/>
      <c r="AH19" s="39"/>
      <c r="AI19" s="38"/>
      <c r="AJ19" s="40"/>
      <c r="AN19" s="269" t="s">
        <v>498</v>
      </c>
      <c r="AO19" s="269"/>
      <c r="AP19" s="269"/>
      <c r="AQ19" s="269"/>
      <c r="AR19" s="269"/>
      <c r="AS19" s="269"/>
      <c r="AT19" s="269"/>
      <c r="AU19" s="269"/>
      <c r="AV19" s="269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158" t="s">
        <v>42</v>
      </c>
      <c r="V20" s="293" t="s">
        <v>86</v>
      </c>
      <c r="W20" s="294"/>
      <c r="X20" s="28">
        <v>1.76</v>
      </c>
      <c r="Y20" s="28">
        <v>3</v>
      </c>
      <c r="Z20" s="28">
        <f>0.55*0.6</f>
        <v>0.33</v>
      </c>
      <c r="AA20" s="28">
        <f t="shared" si="1"/>
        <v>4.95</v>
      </c>
      <c r="AE20" s="27"/>
      <c r="AF20" s="38"/>
      <c r="AG20" s="39"/>
      <c r="AH20" s="39"/>
      <c r="AI20" s="38"/>
      <c r="AJ20" s="40"/>
      <c r="AN20" s="170"/>
      <c r="AO20" s="170"/>
      <c r="AP20" s="170"/>
      <c r="AQ20" s="170"/>
      <c r="AR20" s="170"/>
      <c r="AS20" s="170"/>
      <c r="AT20" s="170"/>
      <c r="AU20" s="170"/>
      <c r="AV20" s="17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123</v>
      </c>
      <c r="Q21" s="190" t="s">
        <v>123</v>
      </c>
      <c r="R21" s="190" t="s">
        <v>123</v>
      </c>
      <c r="U21" s="158" t="s">
        <v>43</v>
      </c>
      <c r="V21" s="293" t="s">
        <v>88</v>
      </c>
      <c r="W21" s="294"/>
      <c r="X21" s="28">
        <v>3.6</v>
      </c>
      <c r="Y21" s="28">
        <v>3</v>
      </c>
      <c r="Z21" s="28">
        <v>0</v>
      </c>
      <c r="AA21" s="28">
        <f t="shared" si="1"/>
        <v>10.8</v>
      </c>
      <c r="AE21" s="339" t="s">
        <v>208</v>
      </c>
      <c r="AF21" s="339"/>
      <c r="AG21" s="339"/>
      <c r="AH21" s="339"/>
      <c r="AI21" s="339"/>
      <c r="AJ21" s="339"/>
      <c r="AN21" s="351" t="s">
        <v>7</v>
      </c>
      <c r="AO21" s="238" t="s">
        <v>4</v>
      </c>
      <c r="AP21" s="348" t="s">
        <v>8</v>
      </c>
      <c r="AQ21" s="348" t="s">
        <v>442</v>
      </c>
      <c r="AR21" s="348" t="s">
        <v>234</v>
      </c>
      <c r="AS21" s="348" t="s">
        <v>58</v>
      </c>
      <c r="AT21" s="348" t="s">
        <v>242</v>
      </c>
      <c r="AU21" s="349" t="s">
        <v>25</v>
      </c>
      <c r="AV21" s="350" t="s">
        <v>26</v>
      </c>
    </row>
    <row r="22" spans="3:48" s="24" customFormat="1" ht="15" customHeight="1">
      <c r="C22" s="196" t="s">
        <v>143</v>
      </c>
      <c r="D22" s="197">
        <v>0.7</v>
      </c>
      <c r="E22" s="197">
        <v>0.9</v>
      </c>
      <c r="F22" s="198">
        <f aca="true" t="shared" si="2" ref="F22:F29">D22*E22</f>
        <v>0.63</v>
      </c>
      <c r="G22" s="199">
        <v>0.2</v>
      </c>
      <c r="H22" s="200">
        <v>0.3</v>
      </c>
      <c r="I22" s="201">
        <v>1.5</v>
      </c>
      <c r="J22" s="202">
        <v>0.15</v>
      </c>
      <c r="K22" s="202">
        <v>0.3</v>
      </c>
      <c r="L22" s="203">
        <f aca="true" t="shared" si="3" ref="L22:L29">J22*K22</f>
        <v>0.045</v>
      </c>
      <c r="M22" s="204">
        <f aca="true" t="shared" si="4" ref="M22:M29">I22-H22</f>
        <v>1.2</v>
      </c>
      <c r="N22" s="198">
        <f aca="true" t="shared" si="5" ref="N22:N29">(D22+0.1)*(E22+0.1)*(I22+0.05)</f>
        <v>1.24</v>
      </c>
      <c r="O22" s="198">
        <f aca="true" t="shared" si="6" ref="O22:O29">(D22+0.1)*(E22+0.1)</f>
        <v>0.7999999999999999</v>
      </c>
      <c r="P22" s="198">
        <f aca="true" t="shared" si="7" ref="P22:P29">O22*0.05</f>
        <v>0.04</v>
      </c>
      <c r="Q22" s="205">
        <f aca="true" t="shared" si="8" ref="Q22:Q29">(F22*H22)+(L22*M22)+P22</f>
        <v>0.283</v>
      </c>
      <c r="R22" s="198">
        <f aca="true" t="shared" si="9" ref="R22:R29">N22-Q22</f>
        <v>0.9570000000000001</v>
      </c>
      <c r="U22" s="158" t="s">
        <v>43</v>
      </c>
      <c r="V22" s="293" t="s">
        <v>89</v>
      </c>
      <c r="W22" s="294"/>
      <c r="X22" s="28">
        <v>1.5</v>
      </c>
      <c r="Y22" s="28">
        <v>3</v>
      </c>
      <c r="Z22" s="28">
        <f>0.8*2.1</f>
        <v>1.6800000000000002</v>
      </c>
      <c r="AA22" s="28">
        <f t="shared" si="1"/>
        <v>2.82</v>
      </c>
      <c r="AE22" s="328" t="s">
        <v>7</v>
      </c>
      <c r="AF22" s="328" t="s">
        <v>8</v>
      </c>
      <c r="AG22" s="328" t="s">
        <v>58</v>
      </c>
      <c r="AH22" s="328" t="s">
        <v>63</v>
      </c>
      <c r="AI22" s="328" t="s">
        <v>234</v>
      </c>
      <c r="AJ22" s="328" t="s">
        <v>55</v>
      </c>
      <c r="AN22" s="351"/>
      <c r="AO22" s="348" t="s">
        <v>9</v>
      </c>
      <c r="AP22" s="348"/>
      <c r="AQ22" s="348"/>
      <c r="AR22" s="348"/>
      <c r="AS22" s="348" t="s">
        <v>58</v>
      </c>
      <c r="AT22" s="348"/>
      <c r="AU22" s="349"/>
      <c r="AV22" s="350"/>
    </row>
    <row r="23" spans="3:48" s="24" customFormat="1" ht="15" customHeight="1">
      <c r="C23" s="196" t="s">
        <v>142</v>
      </c>
      <c r="D23" s="197">
        <v>0.8</v>
      </c>
      <c r="E23" s="197">
        <v>1</v>
      </c>
      <c r="F23" s="198">
        <f t="shared" si="2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3"/>
        <v>0.045</v>
      </c>
      <c r="M23" s="204">
        <f t="shared" si="4"/>
        <v>1.2</v>
      </c>
      <c r="N23" s="198">
        <f t="shared" si="5"/>
        <v>1.5345000000000002</v>
      </c>
      <c r="O23" s="198">
        <f t="shared" si="6"/>
        <v>0.9900000000000001</v>
      </c>
      <c r="P23" s="198">
        <f t="shared" si="7"/>
        <v>0.04950000000000001</v>
      </c>
      <c r="Q23" s="205">
        <f t="shared" si="8"/>
        <v>0.34349999999999997</v>
      </c>
      <c r="R23" s="198">
        <f t="shared" si="9"/>
        <v>1.1910000000000003</v>
      </c>
      <c r="U23" s="268" t="s">
        <v>67</v>
      </c>
      <c r="V23" s="268"/>
      <c r="W23" s="268"/>
      <c r="X23" s="268"/>
      <c r="Y23" s="268"/>
      <c r="Z23" s="268"/>
      <c r="AA23" s="268"/>
      <c r="AE23" s="328"/>
      <c r="AF23" s="328"/>
      <c r="AG23" s="328"/>
      <c r="AH23" s="328"/>
      <c r="AI23" s="328"/>
      <c r="AJ23" s="328"/>
      <c r="AK23"/>
      <c r="AN23" s="351"/>
      <c r="AO23" s="348"/>
      <c r="AP23" s="348"/>
      <c r="AQ23" s="348"/>
      <c r="AR23" s="348"/>
      <c r="AS23" s="348"/>
      <c r="AT23" s="348"/>
      <c r="AU23" s="349"/>
      <c r="AV23" s="350"/>
    </row>
    <row r="24" spans="3:48" s="24" customFormat="1" ht="15" customHeight="1">
      <c r="C24" s="196" t="s">
        <v>141</v>
      </c>
      <c r="D24" s="197">
        <v>0.9</v>
      </c>
      <c r="E24" s="197">
        <v>1</v>
      </c>
      <c r="F24" s="198">
        <f t="shared" si="2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3"/>
        <v>0.06</v>
      </c>
      <c r="M24" s="204">
        <f t="shared" si="4"/>
        <v>1.2</v>
      </c>
      <c r="N24" s="198">
        <f t="shared" si="5"/>
        <v>1.7050000000000003</v>
      </c>
      <c r="O24" s="198">
        <f t="shared" si="6"/>
        <v>1.1</v>
      </c>
      <c r="P24" s="198">
        <f t="shared" si="7"/>
        <v>0.05500000000000001</v>
      </c>
      <c r="Q24" s="205">
        <f t="shared" si="8"/>
        <v>0.397</v>
      </c>
      <c r="R24" s="198">
        <f t="shared" si="9"/>
        <v>1.3080000000000003</v>
      </c>
      <c r="U24" s="321" t="s">
        <v>0</v>
      </c>
      <c r="V24" s="321"/>
      <c r="W24" s="321"/>
      <c r="X24" s="321"/>
      <c r="Y24" s="321"/>
      <c r="Z24" s="321"/>
      <c r="AA24" s="156">
        <f>ROUND(SUM(AA12:AA22),2)</f>
        <v>129.35</v>
      </c>
      <c r="AE24" s="28" t="s">
        <v>98</v>
      </c>
      <c r="AF24" s="28">
        <v>8.41</v>
      </c>
      <c r="AG24" s="28">
        <v>3</v>
      </c>
      <c r="AH24" s="28">
        <f>1.6*2.1+0.8*2.1</f>
        <v>5.040000000000001</v>
      </c>
      <c r="AI24" s="28">
        <v>0</v>
      </c>
      <c r="AJ24" s="28">
        <f>AF24*AG24-AH24-AI24</f>
        <v>20.189999999999998</v>
      </c>
      <c r="AK24"/>
      <c r="AN24" s="28" t="s">
        <v>98</v>
      </c>
      <c r="AO24" s="71">
        <v>4.45</v>
      </c>
      <c r="AP24" s="71">
        <v>8.41</v>
      </c>
      <c r="AQ24" s="55">
        <f>1.6*2.1+0.8*2.1</f>
        <v>5.040000000000001</v>
      </c>
      <c r="AR24" s="55">
        <v>0</v>
      </c>
      <c r="AS24" s="55">
        <v>3</v>
      </c>
      <c r="AT24" s="55">
        <f>AQ24+AR24</f>
        <v>5.040000000000001</v>
      </c>
      <c r="AU24" s="167">
        <f>(AP24*AS24)-AT24</f>
        <v>20.189999999999998</v>
      </c>
      <c r="AV24" s="168">
        <v>0</v>
      </c>
    </row>
    <row r="25" spans="3:48" s="24" customFormat="1" ht="15" customHeight="1">
      <c r="C25" s="196" t="s">
        <v>140</v>
      </c>
      <c r="D25" s="197">
        <v>0.8</v>
      </c>
      <c r="E25" s="197">
        <v>1</v>
      </c>
      <c r="F25" s="198">
        <f t="shared" si="2"/>
        <v>0.8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3"/>
        <v>0.045</v>
      </c>
      <c r="M25" s="204">
        <f t="shared" si="4"/>
        <v>1.2</v>
      </c>
      <c r="N25" s="198">
        <f t="shared" si="5"/>
        <v>1.5345000000000002</v>
      </c>
      <c r="O25" s="198">
        <f t="shared" si="6"/>
        <v>0.9900000000000001</v>
      </c>
      <c r="P25" s="198">
        <f t="shared" si="7"/>
        <v>0.04950000000000001</v>
      </c>
      <c r="Q25" s="205">
        <f t="shared" si="8"/>
        <v>0.34349999999999997</v>
      </c>
      <c r="R25" s="198">
        <f t="shared" si="9"/>
        <v>1.1910000000000003</v>
      </c>
      <c r="U25"/>
      <c r="V25"/>
      <c r="W25"/>
      <c r="X25"/>
      <c r="Y25"/>
      <c r="Z25"/>
      <c r="AA25"/>
      <c r="AB25"/>
      <c r="AC25"/>
      <c r="AE25" s="28" t="s">
        <v>99</v>
      </c>
      <c r="AF25" s="28">
        <v>6.3</v>
      </c>
      <c r="AG25" s="28">
        <v>3</v>
      </c>
      <c r="AH25" s="28">
        <f>0.8*2.1+0.8*0.8</f>
        <v>2.3200000000000003</v>
      </c>
      <c r="AI25" s="28"/>
      <c r="AJ25" s="28">
        <f>AF25*AG25-AH25-AI25</f>
        <v>16.58</v>
      </c>
      <c r="AK25"/>
      <c r="AN25" s="28" t="s">
        <v>99</v>
      </c>
      <c r="AO25" s="71">
        <v>2.47</v>
      </c>
      <c r="AP25" s="71">
        <v>6.3</v>
      </c>
      <c r="AQ25" s="55">
        <f>0.8*2.1+0.8*0.8</f>
        <v>2.3200000000000003</v>
      </c>
      <c r="AR25" s="55">
        <v>0</v>
      </c>
      <c r="AS25" s="55">
        <v>3</v>
      </c>
      <c r="AT25" s="55">
        <f>AQ25+AR25</f>
        <v>2.3200000000000003</v>
      </c>
      <c r="AU25" s="167">
        <f>(AP25*AS25)-AT25</f>
        <v>16.58</v>
      </c>
      <c r="AV25" s="168">
        <v>0</v>
      </c>
    </row>
    <row r="26" spans="3:48" s="17" customFormat="1" ht="15" customHeight="1">
      <c r="C26" s="196" t="s">
        <v>139</v>
      </c>
      <c r="D26" s="197">
        <v>0.8</v>
      </c>
      <c r="E26" s="197">
        <v>1</v>
      </c>
      <c r="F26" s="198">
        <f t="shared" si="2"/>
        <v>0.8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3"/>
        <v>0.045</v>
      </c>
      <c r="M26" s="204">
        <f t="shared" si="4"/>
        <v>1.2</v>
      </c>
      <c r="N26" s="198">
        <f t="shared" si="5"/>
        <v>1.5345000000000002</v>
      </c>
      <c r="O26" s="198">
        <f t="shared" si="6"/>
        <v>0.9900000000000001</v>
      </c>
      <c r="P26" s="198">
        <f t="shared" si="7"/>
        <v>0.04950000000000001</v>
      </c>
      <c r="Q26" s="205">
        <f t="shared" si="8"/>
        <v>0.34349999999999997</v>
      </c>
      <c r="R26" s="198">
        <f t="shared" si="9"/>
        <v>1.1910000000000003</v>
      </c>
      <c r="U26"/>
      <c r="V26"/>
      <c r="W26"/>
      <c r="X26"/>
      <c r="Y26"/>
      <c r="Z26"/>
      <c r="AA26"/>
      <c r="AB26"/>
      <c r="AC26"/>
      <c r="AE26" s="28" t="s">
        <v>101</v>
      </c>
      <c r="AF26" s="28">
        <v>7.98</v>
      </c>
      <c r="AG26" s="28">
        <v>3</v>
      </c>
      <c r="AH26" s="28">
        <f>2*0.8*2.1+0.37*0.6</f>
        <v>3.5820000000000003</v>
      </c>
      <c r="AI26" s="28">
        <v>0</v>
      </c>
      <c r="AJ26" s="28">
        <f>AF26*AG26-AH26-AI26</f>
        <v>20.358</v>
      </c>
      <c r="AK26"/>
      <c r="AL26" s="24"/>
      <c r="AM26" s="24"/>
      <c r="AN26" s="28" t="s">
        <v>104</v>
      </c>
      <c r="AO26" s="71">
        <v>12.4</v>
      </c>
      <c r="AP26" s="71">
        <f>18.55</f>
        <v>18.55</v>
      </c>
      <c r="AQ26" s="55">
        <f>3*0.8*2.1+0.55*0.6</f>
        <v>5.370000000000001</v>
      </c>
      <c r="AR26" s="55">
        <v>0</v>
      </c>
      <c r="AS26" s="55">
        <v>3</v>
      </c>
      <c r="AT26" s="55">
        <f>AQ26+AR26</f>
        <v>5.370000000000001</v>
      </c>
      <c r="AU26" s="167">
        <f>(AP26*AS26)-AT26</f>
        <v>50.28</v>
      </c>
      <c r="AV26" s="168">
        <f>AO26</f>
        <v>12.4</v>
      </c>
    </row>
    <row r="27" spans="3:48" s="17" customFormat="1" ht="15" customHeight="1">
      <c r="C27" s="196" t="s">
        <v>176</v>
      </c>
      <c r="D27" s="197">
        <v>0.7</v>
      </c>
      <c r="E27" s="197">
        <v>0.9</v>
      </c>
      <c r="F27" s="198">
        <f t="shared" si="2"/>
        <v>0.63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3"/>
        <v>0.045</v>
      </c>
      <c r="M27" s="204">
        <f t="shared" si="4"/>
        <v>1.2</v>
      </c>
      <c r="N27" s="198">
        <f t="shared" si="5"/>
        <v>1.24</v>
      </c>
      <c r="O27" s="198">
        <f t="shared" si="6"/>
        <v>0.7999999999999999</v>
      </c>
      <c r="P27" s="198">
        <f t="shared" si="7"/>
        <v>0.04</v>
      </c>
      <c r="Q27" s="205">
        <f t="shared" si="8"/>
        <v>0.283</v>
      </c>
      <c r="R27" s="198">
        <f t="shared" si="9"/>
        <v>0.9570000000000001</v>
      </c>
      <c r="U27" s="283" t="s">
        <v>492</v>
      </c>
      <c r="V27" s="283"/>
      <c r="W27" s="283"/>
      <c r="X27" s="283"/>
      <c r="Y27" s="283"/>
      <c r="Z27" s="53"/>
      <c r="AA27" s="53"/>
      <c r="AB27" s="57"/>
      <c r="AC27" s="47"/>
      <c r="AE27" s="28" t="s">
        <v>102</v>
      </c>
      <c r="AF27" s="28">
        <v>7.63</v>
      </c>
      <c r="AG27" s="28">
        <v>3</v>
      </c>
      <c r="AH27" s="28">
        <f>0.8*2.1+0.37*0.6</f>
        <v>1.9020000000000001</v>
      </c>
      <c r="AI27" s="28">
        <f>1.5*2.1</f>
        <v>3.1500000000000004</v>
      </c>
      <c r="AJ27" s="28">
        <f>AF27*AG27-AH27-AI27</f>
        <v>17.838</v>
      </c>
      <c r="AK27"/>
      <c r="AL27" s="24"/>
      <c r="AM27" s="24"/>
      <c r="AN27" s="28" t="s">
        <v>101</v>
      </c>
      <c r="AO27" s="71">
        <v>3.73</v>
      </c>
      <c r="AP27" s="71">
        <v>7.98</v>
      </c>
      <c r="AQ27" s="55">
        <f>2*0.8*2.1+0.37*0.6</f>
        <v>3.5820000000000003</v>
      </c>
      <c r="AR27" s="55">
        <v>0</v>
      </c>
      <c r="AS27" s="55">
        <v>3</v>
      </c>
      <c r="AT27" s="55">
        <f>AQ27+AR27</f>
        <v>3.5820000000000003</v>
      </c>
      <c r="AU27" s="167">
        <f>(AP27*AS27)-AT27</f>
        <v>20.358</v>
      </c>
      <c r="AV27" s="168">
        <v>0</v>
      </c>
    </row>
    <row r="28" spans="3:48" ht="15" customHeight="1">
      <c r="C28" s="196" t="s">
        <v>177</v>
      </c>
      <c r="D28" s="197">
        <v>1</v>
      </c>
      <c r="E28" s="197">
        <v>1.1</v>
      </c>
      <c r="F28" s="198">
        <f t="shared" si="2"/>
        <v>1.1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3"/>
        <v>0.045</v>
      </c>
      <c r="M28" s="204">
        <f t="shared" si="4"/>
        <v>1.2</v>
      </c>
      <c r="N28" s="198">
        <f t="shared" si="5"/>
        <v>2.0460000000000007</v>
      </c>
      <c r="O28" s="198">
        <f t="shared" si="6"/>
        <v>1.3200000000000003</v>
      </c>
      <c r="P28" s="198">
        <f t="shared" si="7"/>
        <v>0.06600000000000002</v>
      </c>
      <c r="Q28" s="205">
        <f t="shared" si="8"/>
        <v>0.45</v>
      </c>
      <c r="R28" s="198">
        <f t="shared" si="9"/>
        <v>1.5960000000000008</v>
      </c>
      <c r="U28" s="163" t="s">
        <v>31</v>
      </c>
      <c r="V28" s="163" t="s">
        <v>59</v>
      </c>
      <c r="W28" s="163" t="s">
        <v>10</v>
      </c>
      <c r="X28" s="163" t="s">
        <v>64</v>
      </c>
      <c r="Y28" s="163" t="s">
        <v>54</v>
      </c>
      <c r="Z28" s="237"/>
      <c r="AA28" s="58"/>
      <c r="AB28" s="47" t="s">
        <v>49</v>
      </c>
      <c r="AC28" s="47" t="s">
        <v>50</v>
      </c>
      <c r="AE28" s="28" t="s">
        <v>506</v>
      </c>
      <c r="AF28" s="28">
        <v>23.12</v>
      </c>
      <c r="AG28" s="28">
        <v>4.37</v>
      </c>
      <c r="AH28" s="28">
        <f>1.6*2.1+0.8*0.8</f>
        <v>4</v>
      </c>
      <c r="AI28" s="28">
        <v>0</v>
      </c>
      <c r="AJ28" s="28">
        <f>AF28*AG28-AH28-AI28</f>
        <v>97.0344</v>
      </c>
      <c r="AL28" s="17"/>
      <c r="AM28" s="24"/>
      <c r="AN28" s="28" t="s">
        <v>102</v>
      </c>
      <c r="AO28" s="71">
        <v>3.47</v>
      </c>
      <c r="AP28" s="71">
        <v>7.63</v>
      </c>
      <c r="AQ28" s="55">
        <f>0.8*2.1+0.37*0.6</f>
        <v>1.9020000000000001</v>
      </c>
      <c r="AR28" s="55">
        <f>1.5*2.1</f>
        <v>3.1500000000000004</v>
      </c>
      <c r="AS28" s="55">
        <v>3</v>
      </c>
      <c r="AT28" s="55">
        <f>AQ28+AR28</f>
        <v>5.0520000000000005</v>
      </c>
      <c r="AU28" s="167">
        <f>(AP28*AS28)-AT28</f>
        <v>17.838</v>
      </c>
      <c r="AV28" s="168">
        <v>0</v>
      </c>
    </row>
    <row r="29" spans="3:48" ht="15" customHeight="1">
      <c r="C29" s="196" t="s">
        <v>178</v>
      </c>
      <c r="D29" s="197">
        <v>1.1</v>
      </c>
      <c r="E29" s="197">
        <v>1.2</v>
      </c>
      <c r="F29" s="198">
        <f t="shared" si="2"/>
        <v>1.32</v>
      </c>
      <c r="G29" s="199">
        <v>0.2</v>
      </c>
      <c r="H29" s="200">
        <v>0.3</v>
      </c>
      <c r="I29" s="201">
        <v>1.5</v>
      </c>
      <c r="J29" s="202">
        <v>0.2</v>
      </c>
      <c r="K29" s="202">
        <v>0.3</v>
      </c>
      <c r="L29" s="203">
        <f t="shared" si="3"/>
        <v>0.06</v>
      </c>
      <c r="M29" s="204">
        <f t="shared" si="4"/>
        <v>1.2</v>
      </c>
      <c r="N29" s="198">
        <f t="shared" si="5"/>
        <v>2.4180000000000006</v>
      </c>
      <c r="O29" s="198">
        <f t="shared" si="6"/>
        <v>1.5600000000000003</v>
      </c>
      <c r="P29" s="198">
        <f t="shared" si="7"/>
        <v>0.07800000000000001</v>
      </c>
      <c r="Q29" s="205">
        <f t="shared" si="8"/>
        <v>0.546</v>
      </c>
      <c r="R29" s="198">
        <f t="shared" si="9"/>
        <v>1.8720000000000006</v>
      </c>
      <c r="U29" s="230" t="s">
        <v>108</v>
      </c>
      <c r="V29" s="230">
        <v>1.6</v>
      </c>
      <c r="W29" s="230">
        <v>0.3</v>
      </c>
      <c r="X29" s="230">
        <v>1</v>
      </c>
      <c r="Y29" s="230">
        <f>((V29+(2*W29))*X29)</f>
        <v>2.2</v>
      </c>
      <c r="Z29" s="226"/>
      <c r="AA29" s="58"/>
      <c r="AB29" s="47">
        <f>IF(V29&lt;=1.5,((V29+(2*W29))*X29),0)</f>
        <v>0</v>
      </c>
      <c r="AC29" s="47">
        <f>IF(V29&gt;1.5,((V29+(2*W29))*X29),0)</f>
        <v>2.2</v>
      </c>
      <c r="AE29" s="268" t="s">
        <v>209</v>
      </c>
      <c r="AF29" s="268"/>
      <c r="AG29" s="268"/>
      <c r="AH29" s="268"/>
      <c r="AI29" s="268"/>
      <c r="AJ29" s="268"/>
      <c r="AL29" s="17"/>
      <c r="AM29" s="17"/>
      <c r="AN29" s="345" t="s">
        <v>210</v>
      </c>
      <c r="AO29" s="345"/>
      <c r="AP29" s="345"/>
      <c r="AQ29" s="345"/>
      <c r="AR29" s="345"/>
      <c r="AS29" s="345"/>
      <c r="AT29" s="345"/>
      <c r="AU29" s="345"/>
      <c r="AV29" s="345"/>
    </row>
    <row r="30" spans="3:48" ht="15" customHeight="1">
      <c r="C30" s="325" t="s">
        <v>138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7"/>
      <c r="N30" s="206">
        <f>ROUND(SUM(N22:N29),2)</f>
        <v>13.25</v>
      </c>
      <c r="O30" s="207">
        <f>ROUND(SUM(O22:O29),2)</f>
        <v>8.55</v>
      </c>
      <c r="P30" s="207">
        <f>ROUND(SUM(P22:P29),2)</f>
        <v>0.43</v>
      </c>
      <c r="Q30" s="207">
        <f>ROUND(SUM(Q22:Q29),2)</f>
        <v>2.99</v>
      </c>
      <c r="R30" s="207">
        <f>ROUND(SUM(R22:R29),2)</f>
        <v>10.26</v>
      </c>
      <c r="U30" s="230" t="s">
        <v>39</v>
      </c>
      <c r="V30" s="230">
        <v>0.8</v>
      </c>
      <c r="W30" s="230">
        <v>0.3</v>
      </c>
      <c r="X30" s="230">
        <v>3</v>
      </c>
      <c r="Y30" s="230">
        <f>((V30+(2*W30))*X30)</f>
        <v>4.199999999999999</v>
      </c>
      <c r="Z30" s="226"/>
      <c r="AA30" s="58"/>
      <c r="AB30" s="47">
        <f>IF(V30&lt;=1.5,((V30+(2*W30))*X30),0)</f>
        <v>4.199999999999999</v>
      </c>
      <c r="AC30" s="47">
        <f>IF(V30&gt;1.5,((V30+(2*W30))*X30),0)</f>
        <v>0</v>
      </c>
      <c r="AE30" s="342" t="s">
        <v>207</v>
      </c>
      <c r="AF30" s="342"/>
      <c r="AG30" s="342"/>
      <c r="AH30" s="342"/>
      <c r="AI30" s="342"/>
      <c r="AJ30" s="160">
        <f>ROUND(SUM(AJ24:AJ28),2)</f>
        <v>172</v>
      </c>
      <c r="AM30" s="17"/>
      <c r="AN30" s="28" t="s">
        <v>506</v>
      </c>
      <c r="AO30" s="71">
        <v>0</v>
      </c>
      <c r="AP30" s="71">
        <v>23.12</v>
      </c>
      <c r="AQ30" s="55">
        <f>1.6*2.1+0.8*0.8</f>
        <v>4</v>
      </c>
      <c r="AR30" s="55">
        <v>0</v>
      </c>
      <c r="AS30" s="55">
        <v>4.37</v>
      </c>
      <c r="AT30" s="55">
        <f>AQ30+AR30</f>
        <v>4</v>
      </c>
      <c r="AU30" s="167">
        <f>(AP30*AS30)-AT30</f>
        <v>97.0344</v>
      </c>
      <c r="AV30" s="168">
        <f>AO30</f>
        <v>0</v>
      </c>
    </row>
    <row r="31" spans="21:48" ht="15" customHeight="1">
      <c r="U31" s="230" t="s">
        <v>238</v>
      </c>
      <c r="V31" s="230">
        <v>0.8</v>
      </c>
      <c r="W31" s="230">
        <v>0.3</v>
      </c>
      <c r="X31" s="230">
        <v>1</v>
      </c>
      <c r="Y31" s="230">
        <f>((V31+(2*W31))*X31)</f>
        <v>1.4</v>
      </c>
      <c r="Z31" s="226"/>
      <c r="AA31" s="58"/>
      <c r="AB31" s="47">
        <f>IF(V31&lt;=1.5,((V31+(2*W31))*X31),0)</f>
        <v>1.4</v>
      </c>
      <c r="AC31" s="47">
        <f>IF(V31&gt;1.5,((V31+(2*W31))*X31),0)</f>
        <v>0</v>
      </c>
      <c r="AE31" s="27"/>
      <c r="AF31" s="38"/>
      <c r="AG31" s="39"/>
      <c r="AH31" s="39"/>
      <c r="AI31" s="38"/>
      <c r="AJ31" s="40"/>
      <c r="AN31" s="345" t="s">
        <v>73</v>
      </c>
      <c r="AO31" s="345"/>
      <c r="AP31" s="345"/>
      <c r="AQ31" s="345"/>
      <c r="AR31" s="345"/>
      <c r="AS31" s="345"/>
      <c r="AT31" s="345"/>
      <c r="AU31" s="345"/>
      <c r="AV31" s="345"/>
    </row>
    <row r="32" spans="21:48" ht="15" customHeight="1">
      <c r="U32" s="230" t="s">
        <v>114</v>
      </c>
      <c r="V32" s="230">
        <v>0.8</v>
      </c>
      <c r="W32" s="230">
        <v>0.3</v>
      </c>
      <c r="X32" s="230">
        <v>1</v>
      </c>
      <c r="Y32" s="230">
        <f>((V32+(2*W32))*X32)</f>
        <v>1.4</v>
      </c>
      <c r="Z32" s="226"/>
      <c r="AA32" s="56"/>
      <c r="AB32" s="47">
        <f>IF(V32&lt;=1.5,((V32+(2*W32))*X32),0)</f>
        <v>1.4</v>
      </c>
      <c r="AC32" s="47">
        <f>IF(V32&gt;1.5,((V32+(2*W32))*X32),0)</f>
        <v>0</v>
      </c>
      <c r="AE32" s="27"/>
      <c r="AF32" s="38"/>
      <c r="AG32" s="39"/>
      <c r="AH32" s="39"/>
      <c r="AI32" s="38"/>
      <c r="AJ32" s="40"/>
      <c r="AN32" s="65"/>
      <c r="AO32" s="169"/>
      <c r="AP32" s="169"/>
      <c r="AQ32" s="169"/>
      <c r="AR32" s="169"/>
      <c r="AS32" s="169"/>
      <c r="AT32" s="169"/>
      <c r="AU32" s="169"/>
      <c r="AV32" s="169"/>
    </row>
    <row r="33" spans="3:43" ht="15" customHeight="1">
      <c r="C33" s="360" t="s">
        <v>175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O33" s="307" t="s">
        <v>250</v>
      </c>
      <c r="P33" s="307"/>
      <c r="Q33" s="307"/>
      <c r="R33" s="307"/>
      <c r="U33" s="284" t="s">
        <v>71</v>
      </c>
      <c r="V33" s="284"/>
      <c r="W33" s="284"/>
      <c r="X33" s="284"/>
      <c r="Y33" s="284"/>
      <c r="Z33" s="61"/>
      <c r="AB33" s="47"/>
      <c r="AC33" s="47"/>
      <c r="AE33" s="339" t="s">
        <v>52</v>
      </c>
      <c r="AF33" s="339"/>
      <c r="AG33" s="339"/>
      <c r="AH33" s="339"/>
      <c r="AI33" s="339"/>
      <c r="AJ33" s="159"/>
      <c r="AN33" s="346" t="s">
        <v>499</v>
      </c>
      <c r="AO33" s="346"/>
      <c r="AP33" s="171">
        <f>ROUND(SUM(AU24:AU30),2)</f>
        <v>222.28</v>
      </c>
      <c r="AQ33" s="24"/>
    </row>
    <row r="34" spans="3:43" ht="15" customHeight="1">
      <c r="C34" s="289" t="s">
        <v>477</v>
      </c>
      <c r="D34" s="289" t="s">
        <v>165</v>
      </c>
      <c r="E34" s="289"/>
      <c r="F34" s="289"/>
      <c r="G34" s="289" t="s">
        <v>129</v>
      </c>
      <c r="H34" s="289"/>
      <c r="I34" s="289"/>
      <c r="J34" s="289"/>
      <c r="K34" s="289"/>
      <c r="L34" s="289"/>
      <c r="M34" s="289"/>
      <c r="O34" s="145"/>
      <c r="P34" s="185"/>
      <c r="Q34" s="185"/>
      <c r="R34" s="185"/>
      <c r="U34" s="263" t="s">
        <v>0</v>
      </c>
      <c r="V34" s="361" t="s">
        <v>45</v>
      </c>
      <c r="W34" s="361"/>
      <c r="X34" s="263" t="s">
        <v>46</v>
      </c>
      <c r="Y34" s="263"/>
      <c r="Z34" s="228"/>
      <c r="AB34" s="47"/>
      <c r="AC34" s="47"/>
      <c r="AE34" s="163" t="s">
        <v>7</v>
      </c>
      <c r="AF34" s="163" t="s">
        <v>8</v>
      </c>
      <c r="AG34" s="163" t="s">
        <v>58</v>
      </c>
      <c r="AH34" s="163" t="s">
        <v>508</v>
      </c>
      <c r="AI34" s="163" t="s">
        <v>55</v>
      </c>
      <c r="AJ34" s="24"/>
      <c r="AN34" s="346" t="s">
        <v>500</v>
      </c>
      <c r="AO34" s="346"/>
      <c r="AP34" s="171">
        <f>ROUND(SUM(AV24:AV28),2)</f>
        <v>12.4</v>
      </c>
      <c r="AQ34" s="23"/>
    </row>
    <row r="35" spans="3:36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285" t="s">
        <v>251</v>
      </c>
      <c r="Q35" s="285"/>
      <c r="R35" s="285"/>
      <c r="U35" s="263"/>
      <c r="V35" s="236" t="s">
        <v>47</v>
      </c>
      <c r="W35" s="229" t="s">
        <v>48</v>
      </c>
      <c r="X35" s="236" t="s">
        <v>47</v>
      </c>
      <c r="Y35" s="229" t="s">
        <v>48</v>
      </c>
      <c r="Z35" s="228"/>
      <c r="AE35" s="43" t="s">
        <v>102</v>
      </c>
      <c r="AF35" s="28">
        <v>1.5</v>
      </c>
      <c r="AG35" s="28">
        <v>2.1</v>
      </c>
      <c r="AH35" s="28">
        <v>0</v>
      </c>
      <c r="AI35" s="28">
        <f>AF35*AG35-AH35</f>
        <v>3.1500000000000004</v>
      </c>
      <c r="AJ35" s="24"/>
    </row>
    <row r="36" spans="3:36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285" t="s">
        <v>466</v>
      </c>
      <c r="Q36" s="285"/>
      <c r="R36" s="285"/>
      <c r="U36" s="263"/>
      <c r="V36" s="165">
        <f>ROUND(SUM(AB29:AB31),2)</f>
        <v>5.6</v>
      </c>
      <c r="W36" s="164">
        <f>ROUND(SUM(AC29:AC31),2)</f>
        <v>2.2</v>
      </c>
      <c r="X36" s="164">
        <f>ROUND(SUM(AB32:AB32),2)</f>
        <v>1.4</v>
      </c>
      <c r="Y36" s="164">
        <f>ROUND(SUM(AC32:AC32),2)</f>
        <v>0</v>
      </c>
      <c r="Z36" s="228"/>
      <c r="AA36" s="159"/>
      <c r="AE36" s="341" t="s">
        <v>68</v>
      </c>
      <c r="AF36" s="341"/>
      <c r="AG36" s="341"/>
      <c r="AH36" s="341"/>
      <c r="AI36" s="341"/>
      <c r="AJ36" s="24"/>
    </row>
    <row r="37" spans="3:36" ht="15" customHeight="1">
      <c r="C37" s="208" t="s">
        <v>167</v>
      </c>
      <c r="D37" s="209">
        <v>0.15</v>
      </c>
      <c r="E37" s="209">
        <v>0.3</v>
      </c>
      <c r="F37" s="210">
        <v>7.054</v>
      </c>
      <c r="G37" s="209">
        <f aca="true" t="shared" si="10" ref="G37:G45">(D37+0.2)*(E37+0.05-0.08)*F37</f>
        <v>0.666603</v>
      </c>
      <c r="H37" s="209">
        <f aca="true" t="shared" si="11" ref="H37:H45">(D37+0.2)*F37</f>
        <v>2.4689</v>
      </c>
      <c r="I37" s="209">
        <f aca="true" t="shared" si="12" ref="I37:I45">H37*0.05</f>
        <v>0.12344500000000001</v>
      </c>
      <c r="J37" s="209">
        <f aca="true" t="shared" si="13" ref="J37:J45">(D37*E37*F37)+I37</f>
        <v>0.440875</v>
      </c>
      <c r="K37" s="209">
        <f aca="true" t="shared" si="14" ref="K37:K45">G37-J37</f>
        <v>0.22572799999999993</v>
      </c>
      <c r="L37" s="209">
        <f aca="true" t="shared" si="15" ref="L37:L45">(D37+E37*2)*F37</f>
        <v>5.2905</v>
      </c>
      <c r="M37" s="209">
        <f aca="true" t="shared" si="16" ref="M37:M45">F37*0.2*0.3</f>
        <v>0.42324</v>
      </c>
      <c r="O37" s="186" t="s">
        <v>249</v>
      </c>
      <c r="P37" s="285" t="s">
        <v>464</v>
      </c>
      <c r="Q37" s="285"/>
      <c r="R37" s="285"/>
      <c r="AE37" s="342" t="s">
        <v>0</v>
      </c>
      <c r="AF37" s="342"/>
      <c r="AG37" s="342"/>
      <c r="AH37" s="342"/>
      <c r="AI37" s="161">
        <f>ROUND(SUM(AI35:AI35),2)</f>
        <v>3.15</v>
      </c>
      <c r="AJ37" s="24"/>
    </row>
    <row r="38" spans="3:45" ht="15" customHeight="1">
      <c r="C38" s="208" t="s">
        <v>186</v>
      </c>
      <c r="D38" s="209">
        <v>0.15</v>
      </c>
      <c r="E38" s="209">
        <v>0.3</v>
      </c>
      <c r="F38" s="210">
        <v>5.254</v>
      </c>
      <c r="G38" s="209">
        <f t="shared" si="10"/>
        <v>0.4965029999999999</v>
      </c>
      <c r="H38" s="209">
        <f t="shared" si="11"/>
        <v>1.8388999999999998</v>
      </c>
      <c r="I38" s="209">
        <f t="shared" si="12"/>
        <v>0.091945</v>
      </c>
      <c r="J38" s="209">
        <f t="shared" si="13"/>
        <v>0.328375</v>
      </c>
      <c r="K38" s="209">
        <f t="shared" si="14"/>
        <v>0.16812799999999994</v>
      </c>
      <c r="L38" s="209">
        <f t="shared" si="15"/>
        <v>3.9404999999999997</v>
      </c>
      <c r="M38" s="209">
        <f t="shared" si="16"/>
        <v>0.31523999999999996</v>
      </c>
      <c r="O38" s="187"/>
      <c r="P38" s="187"/>
      <c r="Q38" s="187"/>
      <c r="R38" s="187"/>
      <c r="AE38" s="27"/>
      <c r="AF38" s="38"/>
      <c r="AG38" s="39"/>
      <c r="AH38" s="39"/>
      <c r="AI38" s="38"/>
      <c r="AJ38" s="40"/>
      <c r="AN38" s="269" t="s">
        <v>501</v>
      </c>
      <c r="AO38" s="269"/>
      <c r="AP38" s="269"/>
      <c r="AQ38" s="269"/>
      <c r="AR38" s="269"/>
      <c r="AS38" s="159"/>
    </row>
    <row r="39" spans="3:36" ht="15" customHeight="1">
      <c r="C39" s="208" t="s">
        <v>187</v>
      </c>
      <c r="D39" s="209">
        <v>0.15</v>
      </c>
      <c r="E39" s="209">
        <v>0.3</v>
      </c>
      <c r="F39" s="210">
        <v>1.95</v>
      </c>
      <c r="G39" s="209">
        <f t="shared" si="10"/>
        <v>0.18427499999999997</v>
      </c>
      <c r="H39" s="209">
        <f t="shared" si="11"/>
        <v>0.6825</v>
      </c>
      <c r="I39" s="209">
        <f t="shared" si="12"/>
        <v>0.034125</v>
      </c>
      <c r="J39" s="209">
        <f t="shared" si="13"/>
        <v>0.121875</v>
      </c>
      <c r="K39" s="209">
        <f t="shared" si="14"/>
        <v>0.06239999999999997</v>
      </c>
      <c r="L39" s="209">
        <f t="shared" si="15"/>
        <v>1.4625</v>
      </c>
      <c r="M39" s="209">
        <f t="shared" si="16"/>
        <v>0.11699999999999999</v>
      </c>
      <c r="O39" s="186"/>
      <c r="P39" s="285" t="s">
        <v>252</v>
      </c>
      <c r="Q39" s="285"/>
      <c r="R39" s="285"/>
      <c r="AE39" s="27"/>
      <c r="AF39" s="38"/>
      <c r="AG39" s="39"/>
      <c r="AH39" s="39"/>
      <c r="AI39" s="38"/>
      <c r="AJ39" s="40"/>
    </row>
    <row r="40" spans="3:44" ht="15" customHeight="1">
      <c r="C40" s="208" t="s">
        <v>188</v>
      </c>
      <c r="D40" s="209">
        <v>0.15</v>
      </c>
      <c r="E40" s="209">
        <v>0.3</v>
      </c>
      <c r="F40" s="210">
        <v>7.054</v>
      </c>
      <c r="G40" s="209">
        <f t="shared" si="10"/>
        <v>0.666603</v>
      </c>
      <c r="H40" s="209">
        <f t="shared" si="11"/>
        <v>2.4689</v>
      </c>
      <c r="I40" s="209">
        <f t="shared" si="12"/>
        <v>0.12344500000000001</v>
      </c>
      <c r="J40" s="209">
        <f t="shared" si="13"/>
        <v>0.440875</v>
      </c>
      <c r="K40" s="209">
        <f t="shared" si="14"/>
        <v>0.22572799999999993</v>
      </c>
      <c r="L40" s="209">
        <f t="shared" si="15"/>
        <v>5.2905</v>
      </c>
      <c r="M40" s="209">
        <f t="shared" si="16"/>
        <v>0.42324</v>
      </c>
      <c r="O40" s="186" t="s">
        <v>163</v>
      </c>
      <c r="P40" s="285" t="s">
        <v>467</v>
      </c>
      <c r="Q40" s="285"/>
      <c r="R40" s="285"/>
      <c r="U40" s="269" t="s">
        <v>505</v>
      </c>
      <c r="V40" s="269"/>
      <c r="W40" s="269"/>
      <c r="X40" s="269"/>
      <c r="Y40" s="269"/>
      <c r="Z40" s="269"/>
      <c r="AE40" s="369" t="s">
        <v>424</v>
      </c>
      <c r="AF40" s="370"/>
      <c r="AG40" s="370"/>
      <c r="AH40" s="370"/>
      <c r="AI40" s="371"/>
      <c r="AN40" s="344" t="s">
        <v>36</v>
      </c>
      <c r="AO40" s="344"/>
      <c r="AP40" s="344"/>
      <c r="AQ40" s="344"/>
      <c r="AR40" s="344"/>
    </row>
    <row r="41" spans="3:44" ht="15" customHeight="1">
      <c r="C41" s="208" t="s">
        <v>189</v>
      </c>
      <c r="D41" s="209">
        <v>0.15</v>
      </c>
      <c r="E41" s="209">
        <v>0.3</v>
      </c>
      <c r="F41" s="210">
        <v>4.506</v>
      </c>
      <c r="G41" s="209">
        <f t="shared" si="10"/>
        <v>0.42581699999999995</v>
      </c>
      <c r="H41" s="209">
        <f t="shared" si="11"/>
        <v>1.5771</v>
      </c>
      <c r="I41" s="209">
        <f t="shared" si="12"/>
        <v>0.07885500000000001</v>
      </c>
      <c r="J41" s="209">
        <f t="shared" si="13"/>
        <v>0.281625</v>
      </c>
      <c r="K41" s="209">
        <f t="shared" si="14"/>
        <v>0.14419199999999993</v>
      </c>
      <c r="L41" s="209">
        <f t="shared" si="15"/>
        <v>3.3795</v>
      </c>
      <c r="M41" s="209">
        <f t="shared" si="16"/>
        <v>0.27036000000000004</v>
      </c>
      <c r="O41" s="186" t="s">
        <v>249</v>
      </c>
      <c r="P41" s="285" t="s">
        <v>465</v>
      </c>
      <c r="Q41" s="285"/>
      <c r="R41" s="285"/>
      <c r="AE41" s="163" t="s">
        <v>7</v>
      </c>
      <c r="AF41" s="163" t="s">
        <v>8</v>
      </c>
      <c r="AG41" s="163" t="s">
        <v>58</v>
      </c>
      <c r="AH41" s="163" t="s">
        <v>508</v>
      </c>
      <c r="AI41" s="163" t="s">
        <v>55</v>
      </c>
      <c r="AN41" s="163" t="s">
        <v>2</v>
      </c>
      <c r="AO41" s="163" t="s">
        <v>59</v>
      </c>
      <c r="AP41" s="163" t="s">
        <v>58</v>
      </c>
      <c r="AQ41" s="163" t="s">
        <v>64</v>
      </c>
      <c r="AR41" s="163" t="s">
        <v>32</v>
      </c>
    </row>
    <row r="42" spans="3:44" ht="15" customHeight="1">
      <c r="C42" s="208" t="s">
        <v>190</v>
      </c>
      <c r="D42" s="209">
        <v>0.15</v>
      </c>
      <c r="E42" s="209">
        <v>0.3</v>
      </c>
      <c r="F42" s="210">
        <v>4.506</v>
      </c>
      <c r="G42" s="209">
        <f t="shared" si="10"/>
        <v>0.42581699999999995</v>
      </c>
      <c r="H42" s="209">
        <f t="shared" si="11"/>
        <v>1.5771</v>
      </c>
      <c r="I42" s="209">
        <f t="shared" si="12"/>
        <v>0.07885500000000001</v>
      </c>
      <c r="J42" s="209">
        <f t="shared" si="13"/>
        <v>0.281625</v>
      </c>
      <c r="K42" s="209">
        <f t="shared" si="14"/>
        <v>0.14419199999999993</v>
      </c>
      <c r="L42" s="209">
        <f t="shared" si="15"/>
        <v>3.3795</v>
      </c>
      <c r="M42" s="209">
        <f t="shared" si="16"/>
        <v>0.27036000000000004</v>
      </c>
      <c r="O42" s="187"/>
      <c r="P42" s="187"/>
      <c r="Q42" s="187"/>
      <c r="R42" s="187"/>
      <c r="U42" s="283" t="s">
        <v>45</v>
      </c>
      <c r="V42" s="283"/>
      <c r="W42" s="283"/>
      <c r="X42" s="283"/>
      <c r="Y42" s="283"/>
      <c r="Z42" s="283"/>
      <c r="AE42" s="43" t="s">
        <v>104</v>
      </c>
      <c r="AF42" s="28">
        <f>18.55</f>
        <v>18.55</v>
      </c>
      <c r="AG42" s="28">
        <v>3</v>
      </c>
      <c r="AH42" s="28">
        <f>3*0.8*2.1+0.55*0.6</f>
        <v>5.370000000000001</v>
      </c>
      <c r="AI42" s="28">
        <f>AF42*AG42-AH42</f>
        <v>50.28</v>
      </c>
      <c r="AN42" s="230" t="s">
        <v>39</v>
      </c>
      <c r="AO42" s="230">
        <v>0.8</v>
      </c>
      <c r="AP42" s="230">
        <v>2.1</v>
      </c>
      <c r="AQ42" s="230">
        <v>3</v>
      </c>
      <c r="AR42" s="230">
        <f>2*(AO42*AP42*AQ42+0.035*AO42+0.035*AP42)</f>
        <v>10.283000000000001</v>
      </c>
    </row>
    <row r="43" spans="3:44" ht="15" customHeight="1">
      <c r="C43" s="208" t="s">
        <v>191</v>
      </c>
      <c r="D43" s="209">
        <v>0.15</v>
      </c>
      <c r="E43" s="209">
        <v>0.3</v>
      </c>
      <c r="F43" s="210">
        <v>1.8</v>
      </c>
      <c r="G43" s="209">
        <f t="shared" si="10"/>
        <v>0.17009999999999997</v>
      </c>
      <c r="H43" s="209">
        <f t="shared" si="11"/>
        <v>0.63</v>
      </c>
      <c r="I43" s="209">
        <f t="shared" si="12"/>
        <v>0.0315</v>
      </c>
      <c r="J43" s="209">
        <f t="shared" si="13"/>
        <v>0.1125</v>
      </c>
      <c r="K43" s="209">
        <f t="shared" si="14"/>
        <v>0.05759999999999997</v>
      </c>
      <c r="L43" s="209">
        <f t="shared" si="15"/>
        <v>1.35</v>
      </c>
      <c r="M43" s="209">
        <f t="shared" si="16"/>
        <v>0.10800000000000001</v>
      </c>
      <c r="O43" s="186"/>
      <c r="P43" s="285" t="s">
        <v>253</v>
      </c>
      <c r="Q43" s="285"/>
      <c r="R43" s="285"/>
      <c r="U43" s="163" t="s">
        <v>2</v>
      </c>
      <c r="V43" s="163" t="s">
        <v>59</v>
      </c>
      <c r="W43" s="163" t="s">
        <v>58</v>
      </c>
      <c r="X43" s="163" t="s">
        <v>12</v>
      </c>
      <c r="Y43" s="163" t="s">
        <v>64</v>
      </c>
      <c r="Z43" s="163" t="s">
        <v>32</v>
      </c>
      <c r="AE43" s="341" t="s">
        <v>68</v>
      </c>
      <c r="AF43" s="341"/>
      <c r="AG43" s="341"/>
      <c r="AH43" s="341"/>
      <c r="AI43" s="341"/>
      <c r="AJ43" s="24"/>
      <c r="AN43" s="230" t="s">
        <v>238</v>
      </c>
      <c r="AO43" s="230">
        <v>0.8</v>
      </c>
      <c r="AP43" s="230">
        <v>2.1</v>
      </c>
      <c r="AQ43" s="230">
        <v>1</v>
      </c>
      <c r="AR43" s="230">
        <f>2*(AO43*AP43*AQ43+0.035*AO43+0.035*AP43)</f>
        <v>3.5630000000000006</v>
      </c>
    </row>
    <row r="44" spans="3:44" ht="15" customHeight="1">
      <c r="C44" s="208" t="s">
        <v>192</v>
      </c>
      <c r="D44" s="209">
        <v>0.15</v>
      </c>
      <c r="E44" s="209">
        <v>0.3</v>
      </c>
      <c r="F44" s="210">
        <v>2.856</v>
      </c>
      <c r="G44" s="209">
        <f t="shared" si="10"/>
        <v>0.26989199999999997</v>
      </c>
      <c r="H44" s="209">
        <f t="shared" si="11"/>
        <v>0.9995999999999999</v>
      </c>
      <c r="I44" s="209">
        <f t="shared" si="12"/>
        <v>0.04998</v>
      </c>
      <c r="J44" s="209">
        <f t="shared" si="13"/>
        <v>0.1785</v>
      </c>
      <c r="K44" s="209">
        <f t="shared" si="14"/>
        <v>0.09139199999999997</v>
      </c>
      <c r="L44" s="209">
        <f t="shared" si="15"/>
        <v>2.142</v>
      </c>
      <c r="M44" s="209">
        <f t="shared" si="16"/>
        <v>0.17136</v>
      </c>
      <c r="O44" s="186" t="s">
        <v>163</v>
      </c>
      <c r="P44" s="285" t="s">
        <v>254</v>
      </c>
      <c r="Q44" s="285"/>
      <c r="R44" s="285"/>
      <c r="U44" s="230" t="s">
        <v>108</v>
      </c>
      <c r="V44" s="230">
        <v>1.6</v>
      </c>
      <c r="W44" s="230">
        <v>2.1</v>
      </c>
      <c r="X44" s="230" t="s">
        <v>111</v>
      </c>
      <c r="Y44" s="230">
        <v>1</v>
      </c>
      <c r="Z44" s="164">
        <f>V44*W44*Y44</f>
        <v>3.3600000000000003</v>
      </c>
      <c r="AE44" s="372" t="s">
        <v>0</v>
      </c>
      <c r="AF44" s="373"/>
      <c r="AG44" s="373"/>
      <c r="AH44" s="374"/>
      <c r="AI44" s="161">
        <f>SUM(AI42:AI42)</f>
        <v>50.28</v>
      </c>
      <c r="AN44" s="284" t="s">
        <v>241</v>
      </c>
      <c r="AO44" s="284"/>
      <c r="AP44" s="284"/>
      <c r="AQ44" s="284"/>
      <c r="AR44" s="284"/>
    </row>
    <row r="45" spans="3:44" ht="15" customHeight="1">
      <c r="C45" s="208" t="s">
        <v>193</v>
      </c>
      <c r="D45" s="209">
        <v>0.15</v>
      </c>
      <c r="E45" s="209">
        <v>0.3</v>
      </c>
      <c r="F45" s="210">
        <v>4.506</v>
      </c>
      <c r="G45" s="209">
        <f t="shared" si="10"/>
        <v>0.42581699999999995</v>
      </c>
      <c r="H45" s="209">
        <f t="shared" si="11"/>
        <v>1.5771</v>
      </c>
      <c r="I45" s="209">
        <f t="shared" si="12"/>
        <v>0.07885500000000001</v>
      </c>
      <c r="J45" s="209">
        <f t="shared" si="13"/>
        <v>0.281625</v>
      </c>
      <c r="K45" s="209">
        <f t="shared" si="14"/>
        <v>0.14419199999999993</v>
      </c>
      <c r="L45" s="209">
        <f t="shared" si="15"/>
        <v>3.3795</v>
      </c>
      <c r="M45" s="209">
        <f t="shared" si="16"/>
        <v>0.27036000000000004</v>
      </c>
      <c r="O45" s="186" t="s">
        <v>249</v>
      </c>
      <c r="P45" s="285" t="s">
        <v>254</v>
      </c>
      <c r="Q45" s="285"/>
      <c r="R45" s="285"/>
      <c r="U45" s="230" t="s">
        <v>39</v>
      </c>
      <c r="V45" s="230">
        <v>0.8</v>
      </c>
      <c r="W45" s="230">
        <v>2.1</v>
      </c>
      <c r="X45" s="230" t="s">
        <v>27</v>
      </c>
      <c r="Y45" s="164">
        <v>3</v>
      </c>
      <c r="Z45" s="230">
        <f>V45*W45*Y45</f>
        <v>5.040000000000001</v>
      </c>
      <c r="AN45" s="321" t="s">
        <v>0</v>
      </c>
      <c r="AO45" s="321"/>
      <c r="AP45" s="321"/>
      <c r="AQ45" s="321"/>
      <c r="AR45" s="164">
        <f>ROUND(SUM(AR42:AR43),2)</f>
        <v>13.85</v>
      </c>
    </row>
    <row r="46" spans="3:36" ht="15" customHeight="1">
      <c r="C46" s="280" t="s">
        <v>138</v>
      </c>
      <c r="D46" s="280"/>
      <c r="E46" s="280"/>
      <c r="F46" s="280"/>
      <c r="G46" s="206">
        <f aca="true" t="shared" si="17" ref="G46:M46">ROUND(SUM(G37:G45),2)</f>
        <v>3.73</v>
      </c>
      <c r="H46" s="207">
        <f t="shared" si="17"/>
        <v>13.82</v>
      </c>
      <c r="I46" s="207">
        <f t="shared" si="17"/>
        <v>0.69</v>
      </c>
      <c r="J46" s="207">
        <f t="shared" si="17"/>
        <v>2.47</v>
      </c>
      <c r="K46" s="207">
        <f t="shared" si="17"/>
        <v>1.26</v>
      </c>
      <c r="L46" s="207">
        <f t="shared" si="17"/>
        <v>29.61</v>
      </c>
      <c r="M46" s="207">
        <f t="shared" si="17"/>
        <v>2.37</v>
      </c>
      <c r="O46" s="187"/>
      <c r="P46" s="187"/>
      <c r="Q46" s="187"/>
      <c r="R46" s="187"/>
      <c r="U46" s="230" t="s">
        <v>238</v>
      </c>
      <c r="V46" s="230">
        <v>0.8</v>
      </c>
      <c r="W46" s="230">
        <v>2.1</v>
      </c>
      <c r="X46" s="230" t="s">
        <v>211</v>
      </c>
      <c r="Y46" s="164">
        <v>1</v>
      </c>
      <c r="Z46" s="230">
        <f>V46*W46*Y46</f>
        <v>1.6800000000000002</v>
      </c>
      <c r="AE46" s="183"/>
      <c r="AF46" s="183"/>
      <c r="AG46" s="183"/>
      <c r="AH46" s="183"/>
      <c r="AI46" s="183"/>
      <c r="AJ46" s="183"/>
    </row>
    <row r="47" spans="15:36" ht="15" customHeight="1">
      <c r="O47" s="186"/>
      <c r="P47" s="285" t="s">
        <v>255</v>
      </c>
      <c r="Q47" s="285"/>
      <c r="R47" s="285"/>
      <c r="U47" s="284" t="s">
        <v>70</v>
      </c>
      <c r="V47" s="284"/>
      <c r="W47" s="284"/>
      <c r="X47" s="284"/>
      <c r="Y47" s="284"/>
      <c r="Z47" s="284"/>
      <c r="AE47" s="183"/>
      <c r="AF47" s="183"/>
      <c r="AG47" s="183"/>
      <c r="AH47" s="183"/>
      <c r="AI47" s="183"/>
      <c r="AJ47" s="183"/>
    </row>
    <row r="48" spans="3:44" ht="15" customHeight="1">
      <c r="C48" s="296" t="s">
        <v>0</v>
      </c>
      <c r="D48" s="297"/>
      <c r="E48" s="297"/>
      <c r="F48" s="297"/>
      <c r="G48" s="298"/>
      <c r="H48" s="192" t="s">
        <v>137</v>
      </c>
      <c r="I48" s="192" t="s">
        <v>136</v>
      </c>
      <c r="J48" s="192" t="s">
        <v>134</v>
      </c>
      <c r="K48" s="192" t="s">
        <v>135</v>
      </c>
      <c r="L48" s="192" t="s">
        <v>133</v>
      </c>
      <c r="M48" s="192" t="s">
        <v>132</v>
      </c>
      <c r="O48" s="186" t="s">
        <v>163</v>
      </c>
      <c r="P48" s="285" t="s">
        <v>468</v>
      </c>
      <c r="Q48" s="285"/>
      <c r="R48" s="285"/>
      <c r="U48" s="20"/>
      <c r="V48" s="20"/>
      <c r="W48" s="20"/>
      <c r="X48" s="20"/>
      <c r="Y48" s="59"/>
      <c r="Z48" s="15"/>
      <c r="AE48" s="269" t="s">
        <v>495</v>
      </c>
      <c r="AF48" s="269"/>
      <c r="AG48" s="269"/>
      <c r="AH48" s="269"/>
      <c r="AI48" s="269"/>
      <c r="AJ48" s="269"/>
      <c r="AK48" s="269"/>
      <c r="AN48" s="333" t="s">
        <v>502</v>
      </c>
      <c r="AO48" s="333"/>
      <c r="AP48" s="333"/>
      <c r="AQ48" s="333"/>
      <c r="AR48" s="333"/>
    </row>
    <row r="49" spans="3:44" ht="15" customHeight="1">
      <c r="C49" s="299"/>
      <c r="D49" s="300"/>
      <c r="E49" s="300"/>
      <c r="F49" s="300"/>
      <c r="G49" s="301"/>
      <c r="H49" s="194" t="s">
        <v>124</v>
      </c>
      <c r="I49" s="194" t="s">
        <v>123</v>
      </c>
      <c r="J49" s="194" t="s">
        <v>123</v>
      </c>
      <c r="K49" s="194" t="s">
        <v>123</v>
      </c>
      <c r="L49" s="194" t="s">
        <v>131</v>
      </c>
      <c r="M49" s="194" t="s">
        <v>130</v>
      </c>
      <c r="O49" s="186" t="s">
        <v>249</v>
      </c>
      <c r="P49" s="285" t="s">
        <v>461</v>
      </c>
      <c r="Q49" s="285"/>
      <c r="R49" s="285"/>
      <c r="U49" s="20"/>
      <c r="V49" s="20"/>
      <c r="W49" s="20"/>
      <c r="X49" s="20"/>
      <c r="Y49" s="59"/>
      <c r="Z49" s="15"/>
      <c r="AE49" s="234"/>
      <c r="AF49" s="234"/>
      <c r="AG49" s="234"/>
      <c r="AH49" s="234"/>
      <c r="AI49" s="234"/>
      <c r="AJ49" s="234"/>
      <c r="AK49" s="234"/>
      <c r="AN49" s="241" t="s">
        <v>117</v>
      </c>
      <c r="AO49" s="241" t="s">
        <v>212</v>
      </c>
      <c r="AP49" s="241" t="s">
        <v>57</v>
      </c>
      <c r="AQ49" s="241" t="s">
        <v>59</v>
      </c>
      <c r="AR49" s="241" t="s">
        <v>4</v>
      </c>
    </row>
    <row r="50" spans="3:44" ht="15" customHeight="1">
      <c r="C50" s="302" t="s">
        <v>248</v>
      </c>
      <c r="D50" s="303"/>
      <c r="E50" s="303"/>
      <c r="F50" s="303"/>
      <c r="G50" s="304"/>
      <c r="H50" s="211">
        <f>O30+H46</f>
        <v>22.37</v>
      </c>
      <c r="I50" s="211">
        <f>P30+I46</f>
        <v>1.1199999999999999</v>
      </c>
      <c r="J50" s="211">
        <f>Q30+J46</f>
        <v>5.460000000000001</v>
      </c>
      <c r="K50" s="211">
        <f>R30+K46</f>
        <v>11.52</v>
      </c>
      <c r="L50" s="211">
        <f>L46</f>
        <v>29.61</v>
      </c>
      <c r="M50" s="211">
        <f>M46</f>
        <v>2.37</v>
      </c>
      <c r="O50" s="188"/>
      <c r="P50" s="188"/>
      <c r="Q50" s="188"/>
      <c r="R50" s="188"/>
      <c r="U50" s="283" t="s">
        <v>240</v>
      </c>
      <c r="V50" s="283"/>
      <c r="W50" s="283"/>
      <c r="X50" s="283"/>
      <c r="Y50" s="283"/>
      <c r="Z50" s="283"/>
      <c r="AE50" s="344" t="s">
        <v>105</v>
      </c>
      <c r="AF50" s="344"/>
      <c r="AG50" s="53"/>
      <c r="AH50" s="344" t="s">
        <v>425</v>
      </c>
      <c r="AI50" s="344"/>
      <c r="AJ50" s="344"/>
      <c r="AK50" s="344"/>
      <c r="AN50" s="105" t="s">
        <v>100</v>
      </c>
      <c r="AO50" s="109">
        <v>0.1</v>
      </c>
      <c r="AP50" s="105">
        <v>6.75</v>
      </c>
      <c r="AQ50" s="105">
        <v>4.21</v>
      </c>
      <c r="AR50" s="240">
        <f>AP50*SQRT(((AQ50*AO50)^2)+(AQ50^2))</f>
        <v>28.559234046320285</v>
      </c>
    </row>
    <row r="51" spans="15:44" ht="15" customHeight="1">
      <c r="O51" s="186"/>
      <c r="P51" s="285" t="s">
        <v>256</v>
      </c>
      <c r="Q51" s="285"/>
      <c r="R51" s="285"/>
      <c r="U51" s="163" t="s">
        <v>5</v>
      </c>
      <c r="V51" s="163" t="s">
        <v>59</v>
      </c>
      <c r="W51" s="163" t="s">
        <v>58</v>
      </c>
      <c r="X51" s="163" t="s">
        <v>12</v>
      </c>
      <c r="Y51" s="163" t="s">
        <v>64</v>
      </c>
      <c r="Z51" s="163" t="s">
        <v>32</v>
      </c>
      <c r="AA51" s="182"/>
      <c r="AE51" s="229" t="s">
        <v>7</v>
      </c>
      <c r="AF51" s="229" t="s">
        <v>4</v>
      </c>
      <c r="AG51" s="90"/>
      <c r="AH51" s="328" t="s">
        <v>7</v>
      </c>
      <c r="AI51" s="328" t="s">
        <v>8</v>
      </c>
      <c r="AJ51" s="328" t="s">
        <v>63</v>
      </c>
      <c r="AK51" s="328" t="s">
        <v>54</v>
      </c>
      <c r="AN51" s="338" t="s">
        <v>214</v>
      </c>
      <c r="AO51" s="338"/>
      <c r="AP51" s="338"/>
      <c r="AQ51" s="338"/>
      <c r="AR51" s="338"/>
    </row>
    <row r="52" spans="15:44" ht="15" customHeight="1">
      <c r="O52" s="186" t="s">
        <v>163</v>
      </c>
      <c r="P52" s="285" t="s">
        <v>257</v>
      </c>
      <c r="Q52" s="285"/>
      <c r="R52" s="285"/>
      <c r="U52" s="230" t="s">
        <v>114</v>
      </c>
      <c r="V52" s="230">
        <v>0.8</v>
      </c>
      <c r="W52" s="230">
        <v>0.8</v>
      </c>
      <c r="X52" s="230" t="s">
        <v>239</v>
      </c>
      <c r="Y52" s="230">
        <v>1</v>
      </c>
      <c r="Z52" s="164">
        <f>V52*W52*Y52</f>
        <v>0.6400000000000001</v>
      </c>
      <c r="AA52" s="182"/>
      <c r="AB52" s="182"/>
      <c r="AC52" s="182"/>
      <c r="AE52" s="28" t="s">
        <v>98</v>
      </c>
      <c r="AF52" s="28">
        <v>4.22</v>
      </c>
      <c r="AG52" s="91"/>
      <c r="AH52" s="328"/>
      <c r="AI52" s="328"/>
      <c r="AJ52" s="328"/>
      <c r="AK52" s="328"/>
      <c r="AN52" s="332" t="s">
        <v>0</v>
      </c>
      <c r="AO52" s="332"/>
      <c r="AP52" s="332"/>
      <c r="AQ52" s="332"/>
      <c r="AR52" s="166">
        <f>ROUND(SUM(AR50:AR50),2)</f>
        <v>28.56</v>
      </c>
    </row>
    <row r="53" spans="3:37" ht="15" customHeight="1">
      <c r="C53" s="355" t="s">
        <v>475</v>
      </c>
      <c r="D53" s="355"/>
      <c r="E53" s="355"/>
      <c r="F53" s="355"/>
      <c r="G53" s="355"/>
      <c r="H53" s="355"/>
      <c r="I53" s="355"/>
      <c r="J53" s="355"/>
      <c r="K53" s="355"/>
      <c r="O53" s="186" t="s">
        <v>249</v>
      </c>
      <c r="P53" s="285" t="s">
        <v>257</v>
      </c>
      <c r="Q53" s="285"/>
      <c r="R53" s="285"/>
      <c r="U53" s="284" t="s">
        <v>70</v>
      </c>
      <c r="V53" s="284"/>
      <c r="W53" s="284"/>
      <c r="X53" s="284"/>
      <c r="Y53" s="284"/>
      <c r="Z53" s="284"/>
      <c r="AA53" s="182"/>
      <c r="AB53" s="182"/>
      <c r="AC53" s="182"/>
      <c r="AE53" s="28" t="s">
        <v>99</v>
      </c>
      <c r="AF53" s="28">
        <v>2.47</v>
      </c>
      <c r="AG53" s="91"/>
      <c r="AH53" s="28" t="s">
        <v>98</v>
      </c>
      <c r="AI53" s="28">
        <v>8.42</v>
      </c>
      <c r="AJ53" s="28">
        <f>0.8+1.6</f>
        <v>2.4000000000000004</v>
      </c>
      <c r="AK53" s="28">
        <f>AI53-AJ53</f>
        <v>6.02</v>
      </c>
    </row>
    <row r="54" spans="3:37" ht="15" customHeight="1">
      <c r="C54" s="295" t="s">
        <v>128</v>
      </c>
      <c r="D54" s="295"/>
      <c r="E54" s="295"/>
      <c r="F54" s="295" t="s">
        <v>129</v>
      </c>
      <c r="G54" s="295"/>
      <c r="H54" s="295"/>
      <c r="I54" s="295"/>
      <c r="J54" s="295"/>
      <c r="K54" s="295"/>
      <c r="U54" s="220"/>
      <c r="V54" s="182"/>
      <c r="W54" s="182"/>
      <c r="X54" s="182"/>
      <c r="Y54" s="182"/>
      <c r="Z54" s="182"/>
      <c r="AA54" s="182"/>
      <c r="AB54" s="182"/>
      <c r="AC54" s="182"/>
      <c r="AE54" s="28" t="s">
        <v>104</v>
      </c>
      <c r="AF54" s="28">
        <v>12.4</v>
      </c>
      <c r="AG54" s="91"/>
      <c r="AH54" s="28" t="s">
        <v>99</v>
      </c>
      <c r="AI54" s="28">
        <v>6.3</v>
      </c>
      <c r="AJ54" s="28">
        <v>0.8</v>
      </c>
      <c r="AK54" s="28">
        <f>AI54-AJ54</f>
        <v>5.5</v>
      </c>
    </row>
    <row r="55" spans="3:37" ht="15" customHeight="1">
      <c r="C55" s="295"/>
      <c r="D55" s="295"/>
      <c r="E55" s="295"/>
      <c r="F55" s="291" t="s">
        <v>246</v>
      </c>
      <c r="G55" s="214" t="s">
        <v>127</v>
      </c>
      <c r="H55" s="181" t="s">
        <v>126</v>
      </c>
      <c r="I55" s="292" t="s">
        <v>125</v>
      </c>
      <c r="J55" s="292"/>
      <c r="K55" s="292"/>
      <c r="U55" s="182"/>
      <c r="V55" s="182"/>
      <c r="W55" s="182"/>
      <c r="X55" s="182"/>
      <c r="Y55" s="182"/>
      <c r="Z55" s="182"/>
      <c r="AA55" s="182"/>
      <c r="AB55" s="182"/>
      <c r="AC55" s="182"/>
      <c r="AE55" s="28" t="s">
        <v>101</v>
      </c>
      <c r="AF55" s="28">
        <v>3.73</v>
      </c>
      <c r="AG55" s="91"/>
      <c r="AH55" s="28" t="s">
        <v>104</v>
      </c>
      <c r="AI55" s="28">
        <v>18.55</v>
      </c>
      <c r="AJ55" s="28">
        <f>3*0.8</f>
        <v>2.4000000000000004</v>
      </c>
      <c r="AK55" s="28">
        <f>AI55-AJ55</f>
        <v>16.15</v>
      </c>
    </row>
    <row r="56" spans="3:45" ht="15" customHeight="1">
      <c r="C56" s="295"/>
      <c r="D56" s="295"/>
      <c r="E56" s="295"/>
      <c r="F56" s="291"/>
      <c r="G56" s="291" t="s">
        <v>476</v>
      </c>
      <c r="H56" s="291" t="s">
        <v>438</v>
      </c>
      <c r="I56" s="291" t="s">
        <v>439</v>
      </c>
      <c r="J56" s="291" t="s">
        <v>440</v>
      </c>
      <c r="K56" s="291" t="s">
        <v>441</v>
      </c>
      <c r="U56" s="182"/>
      <c r="V56" s="182"/>
      <c r="W56" s="182"/>
      <c r="X56" s="182"/>
      <c r="Y56" s="182"/>
      <c r="Z56" s="182"/>
      <c r="AA56" s="182"/>
      <c r="AB56" s="182"/>
      <c r="AC56" s="182"/>
      <c r="AE56" s="28" t="s">
        <v>102</v>
      </c>
      <c r="AF56" s="28">
        <v>3.47</v>
      </c>
      <c r="AG56" s="91"/>
      <c r="AH56" s="28" t="s">
        <v>101</v>
      </c>
      <c r="AI56" s="28">
        <v>7.97</v>
      </c>
      <c r="AJ56" s="28">
        <f>2*0.8</f>
        <v>1.6</v>
      </c>
      <c r="AK56" s="28">
        <f>AI56-AJ56</f>
        <v>6.369999999999999</v>
      </c>
      <c r="AN56" s="269" t="s">
        <v>426</v>
      </c>
      <c r="AO56" s="269"/>
      <c r="AP56" s="269"/>
      <c r="AQ56" s="269"/>
      <c r="AR56" s="269"/>
      <c r="AS56" s="269"/>
    </row>
    <row r="57" spans="3:45" ht="15" customHeight="1">
      <c r="C57" s="295"/>
      <c r="D57" s="295"/>
      <c r="E57" s="295"/>
      <c r="F57" s="291"/>
      <c r="G57" s="291" t="s">
        <v>123</v>
      </c>
      <c r="H57" s="291" t="s">
        <v>122</v>
      </c>
      <c r="I57" s="291" t="s">
        <v>122</v>
      </c>
      <c r="J57" s="291" t="s">
        <v>122</v>
      </c>
      <c r="K57" s="291" t="s">
        <v>122</v>
      </c>
      <c r="N57" s="277" t="s">
        <v>488</v>
      </c>
      <c r="O57" s="277"/>
      <c r="P57" s="277"/>
      <c r="Q57" s="277"/>
      <c r="R57" s="277"/>
      <c r="U57" s="269" t="s">
        <v>116</v>
      </c>
      <c r="V57" s="269"/>
      <c r="W57" s="269"/>
      <c r="X57" s="269"/>
      <c r="Y57" s="269"/>
      <c r="Z57" s="182"/>
      <c r="AA57" s="182"/>
      <c r="AB57" s="182"/>
      <c r="AC57" s="182"/>
      <c r="AE57" s="231" t="s">
        <v>0</v>
      </c>
      <c r="AF57" s="156">
        <f>ROUND(SUM(AF52:AF56),2)</f>
        <v>26.29</v>
      </c>
      <c r="AG57" s="91"/>
      <c r="AH57" s="28" t="s">
        <v>102</v>
      </c>
      <c r="AI57" s="28">
        <v>7.63</v>
      </c>
      <c r="AJ57" s="28">
        <v>0.8</v>
      </c>
      <c r="AK57" s="28">
        <f>AI57-AJ57</f>
        <v>6.83</v>
      </c>
      <c r="AM57" s="182"/>
      <c r="AN57" s="32"/>
      <c r="AO57" s="32"/>
      <c r="AP57" s="33"/>
      <c r="AQ57" s="33"/>
      <c r="AR57" s="33"/>
      <c r="AS57" s="33"/>
    </row>
    <row r="58" spans="3:45" ht="15" customHeight="1">
      <c r="C58" s="288" t="s">
        <v>472</v>
      </c>
      <c r="D58" s="288"/>
      <c r="E58" s="288"/>
      <c r="F58" s="288"/>
      <c r="G58" s="288"/>
      <c r="H58" s="288"/>
      <c r="I58" s="288"/>
      <c r="J58" s="288"/>
      <c r="K58" s="288"/>
      <c r="N58" s="362" t="s">
        <v>117</v>
      </c>
      <c r="O58" s="362"/>
      <c r="P58" s="154" t="s">
        <v>486</v>
      </c>
      <c r="Q58" s="154" t="s">
        <v>136</v>
      </c>
      <c r="R58" s="155" t="s">
        <v>0</v>
      </c>
      <c r="U58" s="104"/>
      <c r="V58" s="104"/>
      <c r="W58" s="104"/>
      <c r="X58" s="104"/>
      <c r="Y58" s="104"/>
      <c r="Z58" s="182"/>
      <c r="AA58" s="182"/>
      <c r="AB58" s="182"/>
      <c r="AC58" s="182"/>
      <c r="AE58" s="50"/>
      <c r="AF58" s="35"/>
      <c r="AG58" s="91"/>
      <c r="AH58" s="345" t="s">
        <v>69</v>
      </c>
      <c r="AI58" s="345"/>
      <c r="AJ58" s="345"/>
      <c r="AK58" s="345"/>
      <c r="AM58" s="182"/>
      <c r="AN58" s="277" t="s">
        <v>503</v>
      </c>
      <c r="AO58" s="277"/>
      <c r="AQ58" s="277" t="s">
        <v>533</v>
      </c>
      <c r="AR58" s="277"/>
      <c r="AS58" s="277"/>
    </row>
    <row r="59" spans="3:48" s="182" customFormat="1" ht="15" customHeight="1">
      <c r="C59" s="305" t="s">
        <v>121</v>
      </c>
      <c r="D59" s="305"/>
      <c r="E59" s="305"/>
      <c r="F59" s="213">
        <f>1.99*2+2.07*3+2.26+2.19+2.42</f>
        <v>17.06</v>
      </c>
      <c r="G59" s="213">
        <f>0.22*2+0.26*3+0.31+0.33+0.41</f>
        <v>2.27</v>
      </c>
      <c r="H59" s="213">
        <f>(1.7*2+1.7*3+1.9+1.7+1.9)*0.9</f>
        <v>12.6</v>
      </c>
      <c r="I59" s="213">
        <f>(5*2+6.4*3+7+8.3+10.1)*0.9</f>
        <v>49.14</v>
      </c>
      <c r="J59" s="213">
        <v>0</v>
      </c>
      <c r="K59" s="213">
        <f>(5.5*2+5.5*3+5.5+5.5+5.5)*0.9</f>
        <v>39.6</v>
      </c>
      <c r="N59" s="281" t="s">
        <v>163</v>
      </c>
      <c r="O59" s="281"/>
      <c r="P59" s="28">
        <f>G59</f>
        <v>2.27</v>
      </c>
      <c r="Q59" s="28">
        <f>P30</f>
        <v>0.43</v>
      </c>
      <c r="R59" s="156">
        <f>P59+Q59</f>
        <v>2.7</v>
      </c>
      <c r="U59" s="333" t="s">
        <v>115</v>
      </c>
      <c r="V59" s="333"/>
      <c r="W59" s="333"/>
      <c r="X59" s="333"/>
      <c r="Y59" s="333"/>
      <c r="AE59" s="50"/>
      <c r="AF59" s="35"/>
      <c r="AG59" s="90"/>
      <c r="AH59" s="321" t="s">
        <v>0</v>
      </c>
      <c r="AI59" s="321"/>
      <c r="AJ59" s="321"/>
      <c r="AK59" s="156">
        <f>SUM(AK53:AK57)</f>
        <v>40.87</v>
      </c>
      <c r="AL59"/>
      <c r="AN59" s="155" t="s">
        <v>117</v>
      </c>
      <c r="AO59" s="155" t="s">
        <v>429</v>
      </c>
      <c r="AP59"/>
      <c r="AQ59" s="306" t="s">
        <v>7</v>
      </c>
      <c r="AR59" s="306"/>
      <c r="AS59" s="155" t="s">
        <v>535</v>
      </c>
      <c r="AT59"/>
      <c r="AU59"/>
      <c r="AV59"/>
    </row>
    <row r="60" spans="3:48" s="182" customFormat="1" ht="15" customHeight="1">
      <c r="C60" s="305" t="s">
        <v>120</v>
      </c>
      <c r="D60" s="305"/>
      <c r="E60" s="305"/>
      <c r="F60" s="213">
        <v>29.61</v>
      </c>
      <c r="G60" s="213">
        <v>1.78</v>
      </c>
      <c r="H60" s="213">
        <f>33.31*0.9</f>
        <v>29.979000000000003</v>
      </c>
      <c r="I60" s="213">
        <v>0</v>
      </c>
      <c r="J60" s="213">
        <f>53.3*0.9</f>
        <v>47.97</v>
      </c>
      <c r="K60" s="213">
        <f>37.6*0.9</f>
        <v>33.84</v>
      </c>
      <c r="U60" s="241" t="s">
        <v>117</v>
      </c>
      <c r="V60" s="241" t="s">
        <v>212</v>
      </c>
      <c r="W60" s="241" t="s">
        <v>57</v>
      </c>
      <c r="X60" s="241" t="s">
        <v>59</v>
      </c>
      <c r="Y60" s="241" t="s">
        <v>4</v>
      </c>
      <c r="AE60" s="278" t="s">
        <v>66</v>
      </c>
      <c r="AF60" s="278"/>
      <c r="AG60" s="91"/>
      <c r="AH60" s="24"/>
      <c r="AI60" s="24"/>
      <c r="AJ60" s="24"/>
      <c r="AK60" s="24"/>
      <c r="AL60"/>
      <c r="AN60" s="144" t="s">
        <v>100</v>
      </c>
      <c r="AO60" s="156">
        <v>23.12</v>
      </c>
      <c r="AQ60" s="281" t="s">
        <v>100</v>
      </c>
      <c r="AR60" s="281"/>
      <c r="AS60" s="156">
        <v>1</v>
      </c>
      <c r="AT60"/>
      <c r="AU60"/>
      <c r="AV60"/>
    </row>
    <row r="61" spans="3:47" s="182" customFormat="1" ht="15" customHeight="1">
      <c r="C61" s="279" t="s">
        <v>474</v>
      </c>
      <c r="D61" s="279"/>
      <c r="E61" s="279"/>
      <c r="F61" s="215">
        <f aca="true" t="shared" si="18" ref="F61:K61">ROUND(SUM(F59:F60),2)</f>
        <v>46.67</v>
      </c>
      <c r="G61" s="215">
        <f t="shared" si="18"/>
        <v>4.05</v>
      </c>
      <c r="H61" s="215">
        <f t="shared" si="18"/>
        <v>42.58</v>
      </c>
      <c r="I61" s="215">
        <f t="shared" si="18"/>
        <v>49.14</v>
      </c>
      <c r="J61" s="215">
        <f t="shared" si="18"/>
        <v>47.97</v>
      </c>
      <c r="K61" s="215">
        <f t="shared" si="18"/>
        <v>73.44</v>
      </c>
      <c r="U61" s="105" t="s">
        <v>100</v>
      </c>
      <c r="V61" s="109">
        <v>0.1</v>
      </c>
      <c r="W61" s="105">
        <v>6.75</v>
      </c>
      <c r="X61" s="105">
        <v>4.21</v>
      </c>
      <c r="Y61" s="240">
        <f>W61*SQRT(((X61*V61)^2)+(X61^2))</f>
        <v>28.559234046320285</v>
      </c>
      <c r="AE61" s="229" t="s">
        <v>7</v>
      </c>
      <c r="AF61" s="229" t="s">
        <v>4</v>
      </c>
      <c r="AG61" s="91"/>
      <c r="AH61" s="24"/>
      <c r="AI61" s="24"/>
      <c r="AJ61" s="24"/>
      <c r="AK61" s="24"/>
      <c r="AL61"/>
      <c r="AN61"/>
      <c r="AO61"/>
      <c r="AP61"/>
      <c r="AQ61"/>
      <c r="AR61"/>
      <c r="AS61"/>
      <c r="AT61"/>
      <c r="AU61"/>
    </row>
    <row r="62" spans="3:48" s="182" customFormat="1" ht="15" customHeight="1">
      <c r="C62" s="153"/>
      <c r="D62" s="184"/>
      <c r="E62" s="184"/>
      <c r="F62" s="120"/>
      <c r="G62" s="120"/>
      <c r="H62" s="120"/>
      <c r="I62" s="120"/>
      <c r="J62" s="120"/>
      <c r="K62" s="120"/>
      <c r="N62" s="277" t="s">
        <v>487</v>
      </c>
      <c r="O62" s="277"/>
      <c r="P62" s="277"/>
      <c r="Q62" s="277"/>
      <c r="R62" s="277"/>
      <c r="U62" s="338" t="s">
        <v>214</v>
      </c>
      <c r="V62" s="338"/>
      <c r="W62" s="338"/>
      <c r="X62" s="338"/>
      <c r="Y62" s="338"/>
      <c r="AE62" s="28" t="s">
        <v>98</v>
      </c>
      <c r="AF62" s="28">
        <v>4.22</v>
      </c>
      <c r="AG62" s="91"/>
      <c r="AH62" s="363" t="s">
        <v>107</v>
      </c>
      <c r="AI62" s="364"/>
      <c r="AJ62" s="364"/>
      <c r="AK62" s="365"/>
      <c r="AL62"/>
      <c r="AN62"/>
      <c r="AO62"/>
      <c r="AP62"/>
      <c r="AQ62"/>
      <c r="AR62"/>
      <c r="AS62"/>
      <c r="AT62"/>
      <c r="AU62"/>
      <c r="AV62"/>
    </row>
    <row r="63" spans="3:48" s="182" customFormat="1" ht="15" customHeight="1">
      <c r="C63" s="288" t="s">
        <v>119</v>
      </c>
      <c r="D63" s="288"/>
      <c r="E63" s="288"/>
      <c r="F63" s="288"/>
      <c r="G63" s="288"/>
      <c r="H63" s="288"/>
      <c r="I63" s="288"/>
      <c r="J63" s="288"/>
      <c r="K63" s="288"/>
      <c r="N63" s="362" t="s">
        <v>117</v>
      </c>
      <c r="O63" s="362"/>
      <c r="P63" s="154" t="s">
        <v>486</v>
      </c>
      <c r="Q63" s="154" t="s">
        <v>136</v>
      </c>
      <c r="R63" s="155" t="s">
        <v>0</v>
      </c>
      <c r="U63" s="332" t="s">
        <v>0</v>
      </c>
      <c r="V63" s="332"/>
      <c r="W63" s="332"/>
      <c r="X63" s="332"/>
      <c r="Y63" s="166">
        <f>ROUND(SUM(Y61:Y61),2)</f>
        <v>28.56</v>
      </c>
      <c r="AE63" s="28" t="s">
        <v>99</v>
      </c>
      <c r="AF63" s="28">
        <v>2.47</v>
      </c>
      <c r="AG63" s="91"/>
      <c r="AH63" s="163" t="s">
        <v>2</v>
      </c>
      <c r="AI63" s="163" t="s">
        <v>3</v>
      </c>
      <c r="AJ63" s="163" t="s">
        <v>6</v>
      </c>
      <c r="AK63" s="163" t="s">
        <v>54</v>
      </c>
      <c r="AL63"/>
      <c r="AN63" s="277" t="s">
        <v>534</v>
      </c>
      <c r="AO63" s="277"/>
      <c r="AP63" s="51"/>
      <c r="AQ63" s="277" t="s">
        <v>536</v>
      </c>
      <c r="AR63" s="277"/>
      <c r="AS63" s="277"/>
      <c r="AT63"/>
      <c r="AU63"/>
      <c r="AV63"/>
    </row>
    <row r="64" spans="3:48" s="182" customFormat="1" ht="15" customHeight="1">
      <c r="C64" s="305" t="s">
        <v>473</v>
      </c>
      <c r="D64" s="305"/>
      <c r="E64" s="305"/>
      <c r="F64" s="213">
        <f>2.84*6+3.15*2</f>
        <v>23.34</v>
      </c>
      <c r="G64" s="213">
        <f>0.14*6+0.19*2</f>
        <v>1.2200000000000002</v>
      </c>
      <c r="H64" s="213">
        <f>(3.5*6+4*2)*0.9</f>
        <v>26.1</v>
      </c>
      <c r="I64" s="213">
        <v>0</v>
      </c>
      <c r="J64" s="213">
        <v>0</v>
      </c>
      <c r="K64" s="213">
        <f>(8.5*6+8.5*2)*0.9</f>
        <v>61.2</v>
      </c>
      <c r="N64" s="281" t="s">
        <v>249</v>
      </c>
      <c r="O64" s="281"/>
      <c r="P64" s="28">
        <f>G60</f>
        <v>1.78</v>
      </c>
      <c r="Q64" s="28">
        <f>I46</f>
        <v>0.69</v>
      </c>
      <c r="R64" s="156">
        <f>P64+Q64</f>
        <v>2.4699999999999998</v>
      </c>
      <c r="U64" s="104"/>
      <c r="V64" s="104"/>
      <c r="W64" s="104"/>
      <c r="X64" s="104"/>
      <c r="Y64" s="104"/>
      <c r="AE64" s="28" t="s">
        <v>104</v>
      </c>
      <c r="AF64" s="28">
        <v>12.4</v>
      </c>
      <c r="AG64" s="91"/>
      <c r="AH64" s="230" t="s">
        <v>108</v>
      </c>
      <c r="AI64" s="28">
        <v>1.6</v>
      </c>
      <c r="AJ64" s="28">
        <v>1</v>
      </c>
      <c r="AK64" s="28">
        <f>AI64*AJ64</f>
        <v>1.6</v>
      </c>
      <c r="AL64"/>
      <c r="AN64" s="155" t="s">
        <v>7</v>
      </c>
      <c r="AO64" s="155" t="s">
        <v>535</v>
      </c>
      <c r="AP64" s="51"/>
      <c r="AQ64" s="306" t="s">
        <v>117</v>
      </c>
      <c r="AR64" s="306"/>
      <c r="AS64" s="155" t="s">
        <v>535</v>
      </c>
      <c r="AT64"/>
      <c r="AU64"/>
      <c r="AV64"/>
    </row>
    <row r="65" spans="3:48" s="182" customFormat="1" ht="15" customHeight="1">
      <c r="C65" s="305" t="s">
        <v>245</v>
      </c>
      <c r="D65" s="305"/>
      <c r="E65" s="305"/>
      <c r="F65" s="213">
        <v>27.48</v>
      </c>
      <c r="G65" s="213">
        <v>1.69</v>
      </c>
      <c r="H65" s="213">
        <f>26.5*0.9</f>
        <v>23.85</v>
      </c>
      <c r="I65" s="213">
        <v>0</v>
      </c>
      <c r="J65" s="213">
        <f>54.5*0.9</f>
        <v>49.050000000000004</v>
      </c>
      <c r="K65" s="213">
        <f>10.1*0.9</f>
        <v>9.09</v>
      </c>
      <c r="U65" s="104"/>
      <c r="V65" s="104"/>
      <c r="W65" s="104"/>
      <c r="X65" s="104"/>
      <c r="Y65" s="104"/>
      <c r="Z65" s="183"/>
      <c r="AA65" s="183"/>
      <c r="AE65" s="28" t="s">
        <v>101</v>
      </c>
      <c r="AF65" s="28">
        <v>3.73</v>
      </c>
      <c r="AG65" s="91"/>
      <c r="AH65" s="230" t="s">
        <v>39</v>
      </c>
      <c r="AI65" s="28">
        <v>0.8</v>
      </c>
      <c r="AJ65" s="28">
        <v>3</v>
      </c>
      <c r="AK65" s="28">
        <f>AI65*AJ65</f>
        <v>2.4000000000000004</v>
      </c>
      <c r="AN65" s="144" t="s">
        <v>100</v>
      </c>
      <c r="AO65" s="156">
        <v>1</v>
      </c>
      <c r="AP65" s="146"/>
      <c r="AQ65" s="281" t="s">
        <v>100</v>
      </c>
      <c r="AR65" s="281"/>
      <c r="AS65" s="156">
        <v>1</v>
      </c>
      <c r="AV65"/>
    </row>
    <row r="66" spans="3:37" s="182" customFormat="1" ht="15" customHeight="1">
      <c r="C66" s="279" t="s">
        <v>247</v>
      </c>
      <c r="D66" s="279"/>
      <c r="E66" s="279"/>
      <c r="F66" s="215">
        <f aca="true" t="shared" si="19" ref="F66:K66">ROUND(SUM(F64:F65),2)</f>
        <v>50.82</v>
      </c>
      <c r="G66" s="215">
        <f t="shared" si="19"/>
        <v>2.91</v>
      </c>
      <c r="H66" s="215">
        <f t="shared" si="19"/>
        <v>49.95</v>
      </c>
      <c r="I66" s="215">
        <f t="shared" si="19"/>
        <v>0</v>
      </c>
      <c r="J66" s="215">
        <f t="shared" si="19"/>
        <v>49.05</v>
      </c>
      <c r="K66" s="215">
        <f t="shared" si="19"/>
        <v>70.29</v>
      </c>
      <c r="U66" s="333" t="s">
        <v>493</v>
      </c>
      <c r="V66" s="333"/>
      <c r="W66" s="107"/>
      <c r="X66" s="333" t="s">
        <v>494</v>
      </c>
      <c r="Y66" s="333"/>
      <c r="Z66" s="183"/>
      <c r="AA66" s="183"/>
      <c r="AE66" s="28" t="s">
        <v>102</v>
      </c>
      <c r="AF66" s="28">
        <v>3.47</v>
      </c>
      <c r="AG66" s="91"/>
      <c r="AH66" s="230" t="s">
        <v>238</v>
      </c>
      <c r="AI66" s="28">
        <v>0.8</v>
      </c>
      <c r="AJ66" s="28">
        <v>1</v>
      </c>
      <c r="AK66" s="28">
        <f>AI66*AJ66</f>
        <v>0.8</v>
      </c>
    </row>
    <row r="67" spans="3:44" s="182" customFormat="1" ht="15" customHeight="1">
      <c r="C67" s="151"/>
      <c r="D67" s="212"/>
      <c r="E67" s="212"/>
      <c r="F67" s="152"/>
      <c r="G67" s="152"/>
      <c r="H67" s="152"/>
      <c r="I67" s="152"/>
      <c r="J67" s="152"/>
      <c r="K67" s="152"/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A67" s="183"/>
      <c r="AE67" s="231" t="s">
        <v>0</v>
      </c>
      <c r="AF67" s="156">
        <f>ROUND(SUM(AF62:AF66),2)</f>
        <v>26.29</v>
      </c>
      <c r="AG67" s="23"/>
      <c r="AH67" s="366" t="s">
        <v>0</v>
      </c>
      <c r="AI67" s="367"/>
      <c r="AJ67" s="368"/>
      <c r="AK67" s="156">
        <f>SUM(AK64:AK66)</f>
        <v>4.8</v>
      </c>
      <c r="AP67" s="183"/>
      <c r="AQ67" s="183"/>
      <c r="AR67" s="183"/>
    </row>
    <row r="68" spans="3:46" s="182" customFormat="1" ht="15" customHeight="1">
      <c r="C68" s="287" t="s">
        <v>118</v>
      </c>
      <c r="D68" s="287"/>
      <c r="E68" s="287"/>
      <c r="F68" s="216">
        <f aca="true" t="shared" si="20" ref="F68:K68">F61+F66</f>
        <v>97.49000000000001</v>
      </c>
      <c r="G68" s="216">
        <f t="shared" si="20"/>
        <v>6.96</v>
      </c>
      <c r="H68" s="216">
        <f t="shared" si="20"/>
        <v>92.53</v>
      </c>
      <c r="I68" s="216">
        <f t="shared" si="20"/>
        <v>49.14</v>
      </c>
      <c r="J68" s="216">
        <f t="shared" si="20"/>
        <v>97.02</v>
      </c>
      <c r="K68" s="216">
        <f t="shared" si="20"/>
        <v>143.73000000000002</v>
      </c>
      <c r="U68" s="105" t="s">
        <v>100</v>
      </c>
      <c r="V68" s="166">
        <f>2*3.91+6.75</f>
        <v>14.57</v>
      </c>
      <c r="W68" s="107"/>
      <c r="X68" s="105" t="s">
        <v>100</v>
      </c>
      <c r="Y68" s="166">
        <v>6.75</v>
      </c>
      <c r="Z68" s="183"/>
      <c r="AA68" s="183"/>
      <c r="AG68" s="23"/>
      <c r="AH68" s="23"/>
      <c r="AI68" s="23"/>
      <c r="AJ68" s="23"/>
      <c r="AK68"/>
      <c r="AP68" s="183"/>
      <c r="AQ68" s="183"/>
      <c r="AR68" s="183"/>
      <c r="AS68" s="183"/>
      <c r="AT68" s="183"/>
    </row>
    <row r="69" spans="3:46" s="182" customFormat="1" ht="15" customHeight="1">
      <c r="C69" s="268" t="s">
        <v>478</v>
      </c>
      <c r="D69" s="268"/>
      <c r="E69" s="268"/>
      <c r="F69" s="268"/>
      <c r="G69" s="268"/>
      <c r="H69" s="268"/>
      <c r="I69" s="268"/>
      <c r="J69" s="268"/>
      <c r="K69" s="268"/>
      <c r="U69" s="183"/>
      <c r="V69" s="183"/>
      <c r="W69" s="183"/>
      <c r="X69" s="183"/>
      <c r="AE69" s="24"/>
      <c r="AF69" s="23"/>
      <c r="AH69" s="23"/>
      <c r="AI69" s="23"/>
      <c r="AJ69" s="23"/>
      <c r="AK69"/>
      <c r="AN69" s="269" t="s">
        <v>532</v>
      </c>
      <c r="AO69" s="269"/>
      <c r="AP69" s="183"/>
      <c r="AQ69" s="183"/>
      <c r="AR69" s="183"/>
      <c r="AS69" s="183"/>
      <c r="AT69" s="183"/>
    </row>
    <row r="70" spans="3:46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B70" s="183"/>
      <c r="AC70" s="183"/>
      <c r="AE70" s="277" t="s">
        <v>537</v>
      </c>
      <c r="AF70" s="277"/>
      <c r="AH70" s="277" t="s">
        <v>538</v>
      </c>
      <c r="AI70" s="277"/>
      <c r="AN70" s="183"/>
      <c r="AO70" s="183"/>
      <c r="AP70" s="183"/>
      <c r="AQ70" s="183"/>
      <c r="AR70" s="183"/>
      <c r="AS70" s="183"/>
      <c r="AT70" s="183"/>
    </row>
    <row r="71" spans="3:46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55" t="s">
        <v>7</v>
      </c>
      <c r="AF71" s="155" t="s">
        <v>4</v>
      </c>
      <c r="AH71" s="155" t="s">
        <v>7</v>
      </c>
      <c r="AI71" s="155" t="s">
        <v>4</v>
      </c>
      <c r="AN71" s="277" t="s">
        <v>504</v>
      </c>
      <c r="AO71" s="277"/>
      <c r="AP71" s="183"/>
      <c r="AQ71" s="183"/>
      <c r="AR71" s="183"/>
      <c r="AS71" s="183"/>
      <c r="AT71" s="183"/>
    </row>
    <row r="72" spans="3:46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E72" s="144" t="s">
        <v>100</v>
      </c>
      <c r="AF72" s="156">
        <f>ROUND(0.4764+0.4+0.25,2)</f>
        <v>1.13</v>
      </c>
      <c r="AH72" s="144" t="s">
        <v>100</v>
      </c>
      <c r="AI72" s="156">
        <f>ROUND(1.324+0.0906,2)</f>
        <v>1.41</v>
      </c>
      <c r="AN72" s="155" t="s">
        <v>7</v>
      </c>
      <c r="AO72" s="155" t="s">
        <v>4</v>
      </c>
      <c r="AP72" s="183"/>
      <c r="AQ72" s="183"/>
      <c r="AR72" s="183"/>
      <c r="AS72" s="183"/>
      <c r="AT72" s="183"/>
    </row>
    <row r="73" spans="3:46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N73" s="144" t="s">
        <v>100</v>
      </c>
      <c r="AO73" s="156">
        <v>31.79</v>
      </c>
      <c r="AP73" s="183"/>
      <c r="AQ73" s="183"/>
      <c r="AR73" s="183"/>
      <c r="AS73" s="183"/>
      <c r="AT73" s="183"/>
    </row>
    <row r="74" spans="3:46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N74" s="183"/>
      <c r="AO74" s="183"/>
      <c r="AP74" s="183"/>
      <c r="AQ74" s="183"/>
      <c r="AR74" s="183"/>
      <c r="AS74" s="183"/>
      <c r="AT74" s="183"/>
    </row>
    <row r="75" spans="4:48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 s="182"/>
      <c r="AF75" s="182"/>
      <c r="AG75" s="182"/>
      <c r="AH75" s="182"/>
      <c r="AI75" s="182"/>
      <c r="AJ75" s="182"/>
      <c r="AK75" s="182"/>
      <c r="AV75" s="182"/>
    </row>
    <row r="76" spans="4:37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 s="182"/>
      <c r="AF76" s="182"/>
      <c r="AG76" s="182"/>
      <c r="AH76" s="182"/>
      <c r="AI76" s="182"/>
      <c r="AJ76" s="182"/>
      <c r="AK76" s="182"/>
    </row>
    <row r="77" spans="4:38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 s="182"/>
      <c r="AF77" s="182"/>
      <c r="AG77" s="182"/>
      <c r="AH77" s="182"/>
      <c r="AI77" s="182"/>
      <c r="AJ77" s="182"/>
      <c r="AK77" s="182"/>
      <c r="AL77" s="182"/>
    </row>
    <row r="78" spans="4:38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 s="182"/>
      <c r="AF78" s="182"/>
      <c r="AG78" s="182"/>
      <c r="AH78" s="182"/>
      <c r="AI78" s="182"/>
      <c r="AJ78" s="182"/>
      <c r="AK78" s="182"/>
      <c r="AL78" s="182"/>
    </row>
    <row r="79" spans="4:38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 s="182"/>
      <c r="AF79" s="182"/>
      <c r="AH79" s="182"/>
      <c r="AI79" s="182"/>
      <c r="AJ79" s="182"/>
      <c r="AK79" s="182"/>
      <c r="AL79" s="182"/>
    </row>
    <row r="80" spans="4:38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L80" s="182"/>
    </row>
    <row r="81" spans="4:38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G81" s="91"/>
      <c r="AL81" s="182"/>
    </row>
    <row r="82" spans="4:38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  <c r="AL82" s="182"/>
    </row>
    <row r="83" spans="4:38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H83"/>
      <c r="AI83"/>
      <c r="AJ83"/>
      <c r="AL83" s="182"/>
    </row>
    <row r="84" spans="4:38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H84"/>
      <c r="AI84"/>
      <c r="AJ84"/>
      <c r="AL84" s="182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6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</row>
    <row r="112" spans="4:36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</row>
    <row r="113" spans="4:36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</row>
    <row r="114" spans="4:36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</row>
    <row r="115" spans="4:3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</row>
    <row r="116" spans="4:3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</row>
    <row r="117" spans="4:3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AE117"/>
      <c r="AF117"/>
      <c r="AG117"/>
      <c r="AH117"/>
      <c r="AI117"/>
      <c r="AJ117"/>
    </row>
    <row r="118" spans="4:37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AE118"/>
      <c r="AF118"/>
      <c r="AG118"/>
      <c r="AH118"/>
      <c r="AI118"/>
      <c r="AJ118"/>
      <c r="AK118"/>
    </row>
    <row r="119" spans="4:37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</row>
    <row r="120" spans="4:37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</row>
    <row r="121" spans="4:37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</row>
    <row r="122" spans="4:43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A122"/>
      <c r="AE122"/>
      <c r="AF122"/>
      <c r="AG122"/>
      <c r="AH122"/>
      <c r="AI122"/>
      <c r="AJ122"/>
      <c r="AK122"/>
      <c r="AP122"/>
      <c r="AQ122"/>
    </row>
    <row r="123" spans="4:43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A123"/>
      <c r="AE123"/>
      <c r="AF123"/>
      <c r="AG123"/>
      <c r="AH123"/>
      <c r="AI123"/>
      <c r="AJ123"/>
      <c r="AK123"/>
      <c r="AP123"/>
      <c r="AQ123"/>
    </row>
    <row r="124" spans="4:44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O124"/>
      <c r="AP124"/>
      <c r="AQ124"/>
      <c r="AR124"/>
    </row>
    <row r="125" spans="4:46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</row>
    <row r="126" spans="4:46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B126"/>
      <c r="AC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</row>
    <row r="127" spans="4:46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B127"/>
      <c r="AC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</row>
    <row r="128" spans="4:46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</row>
    <row r="129" spans="4:46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</row>
    <row r="130" spans="4:46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M130"/>
      <c r="AN130"/>
      <c r="AO130"/>
      <c r="AP130"/>
      <c r="AQ130"/>
      <c r="AR130"/>
      <c r="AS130"/>
      <c r="AT130"/>
    </row>
    <row r="131" spans="4:46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M131"/>
      <c r="AN131"/>
      <c r="AO131"/>
      <c r="AP131"/>
      <c r="AQ131"/>
      <c r="AR131"/>
      <c r="AS131"/>
      <c r="AT131"/>
    </row>
    <row r="132" spans="38:48" ht="12.75">
      <c r="AL132" s="183"/>
      <c r="AV132" s="183"/>
    </row>
    <row r="133" ht="12.75">
      <c r="AL133" s="183"/>
    </row>
    <row r="134" ht="12.75">
      <c r="AL134" s="183"/>
    </row>
    <row r="135" ht="12.75">
      <c r="AL135" s="183"/>
    </row>
    <row r="136" ht="12.75">
      <c r="AL136" s="183"/>
    </row>
    <row r="137" ht="12.75">
      <c r="AL137" s="183"/>
    </row>
    <row r="138" ht="12.75">
      <c r="AL138" s="183"/>
    </row>
    <row r="139" ht="12.75">
      <c r="AL139" s="183"/>
    </row>
    <row r="140" ht="12.75">
      <c r="AL140" s="183"/>
    </row>
    <row r="141" ht="12.75">
      <c r="AL141" s="183"/>
    </row>
  </sheetData>
  <sheetProtection/>
  <mergeCells count="169">
    <mergeCell ref="AK51:AK52"/>
    <mergeCell ref="AQ63:AS63"/>
    <mergeCell ref="AQ64:AR64"/>
    <mergeCell ref="AE60:AF60"/>
    <mergeCell ref="AH50:AK50"/>
    <mergeCell ref="AH51:AH52"/>
    <mergeCell ref="AH58:AK58"/>
    <mergeCell ref="AH59:AJ59"/>
    <mergeCell ref="AI51:AI52"/>
    <mergeCell ref="AJ51:AJ52"/>
    <mergeCell ref="AN9:AO9"/>
    <mergeCell ref="AN19:AV19"/>
    <mergeCell ref="AN21:AN23"/>
    <mergeCell ref="AP21:AP23"/>
    <mergeCell ref="AQ21:AQ23"/>
    <mergeCell ref="AN71:AO71"/>
    <mergeCell ref="AN58:AO58"/>
    <mergeCell ref="AR21:AR23"/>
    <mergeCell ref="AQ65:AR65"/>
    <mergeCell ref="AQ58:AS58"/>
    <mergeCell ref="AE48:AK48"/>
    <mergeCell ref="AE50:AF50"/>
    <mergeCell ref="AU21:AU23"/>
    <mergeCell ref="AV21:AV23"/>
    <mergeCell ref="AO22:AO23"/>
    <mergeCell ref="AN29:AV29"/>
    <mergeCell ref="AN31:AV31"/>
    <mergeCell ref="AE40:AI40"/>
    <mergeCell ref="AE44:AH44"/>
    <mergeCell ref="AT21:AT23"/>
    <mergeCell ref="AE43:AI43"/>
    <mergeCell ref="AS21:AS23"/>
    <mergeCell ref="AE36:AI36"/>
    <mergeCell ref="AE37:AH37"/>
    <mergeCell ref="AH67:AJ67"/>
    <mergeCell ref="AN38:AR38"/>
    <mergeCell ref="AN40:AR40"/>
    <mergeCell ref="AN44:AR44"/>
    <mergeCell ref="AN45:AQ45"/>
    <mergeCell ref="AN48:AR48"/>
    <mergeCell ref="AH62:AK62"/>
    <mergeCell ref="AE29:AJ29"/>
    <mergeCell ref="AE30:AI30"/>
    <mergeCell ref="AE33:AI33"/>
    <mergeCell ref="AN51:AR51"/>
    <mergeCell ref="AN52:AQ52"/>
    <mergeCell ref="AQ59:AR59"/>
    <mergeCell ref="AQ60:AR60"/>
    <mergeCell ref="AN33:AO33"/>
    <mergeCell ref="AN34:AO34"/>
    <mergeCell ref="AE17:AI17"/>
    <mergeCell ref="AE18:AH18"/>
    <mergeCell ref="AE21:AJ21"/>
    <mergeCell ref="AE22:AE23"/>
    <mergeCell ref="AF22:AF23"/>
    <mergeCell ref="AG22:AG23"/>
    <mergeCell ref="AH22:AH23"/>
    <mergeCell ref="AI22:AI23"/>
    <mergeCell ref="AJ22:AJ23"/>
    <mergeCell ref="AE7:AJ7"/>
    <mergeCell ref="AE9:AI9"/>
    <mergeCell ref="N58:O58"/>
    <mergeCell ref="N59:O59"/>
    <mergeCell ref="N63:O63"/>
    <mergeCell ref="N64:O64"/>
    <mergeCell ref="N62:R62"/>
    <mergeCell ref="U63:X63"/>
    <mergeCell ref="U50:Z50"/>
    <mergeCell ref="U53:Z53"/>
    <mergeCell ref="U57:Y57"/>
    <mergeCell ref="U59:Y59"/>
    <mergeCell ref="U62:Y62"/>
    <mergeCell ref="U66:V66"/>
    <mergeCell ref="X66:Y66"/>
    <mergeCell ref="U34:U36"/>
    <mergeCell ref="V34:W34"/>
    <mergeCell ref="X34:Y34"/>
    <mergeCell ref="U40:Z40"/>
    <mergeCell ref="U42:Z42"/>
    <mergeCell ref="U47:Z47"/>
    <mergeCell ref="V18:W18"/>
    <mergeCell ref="V19:W19"/>
    <mergeCell ref="U23:AA23"/>
    <mergeCell ref="U24:Z24"/>
    <mergeCell ref="U27:Y27"/>
    <mergeCell ref="U33:Y33"/>
    <mergeCell ref="V22:W22"/>
    <mergeCell ref="V20:W20"/>
    <mergeCell ref="V21:W21"/>
    <mergeCell ref="V12:W12"/>
    <mergeCell ref="V13:W13"/>
    <mergeCell ref="V14:W14"/>
    <mergeCell ref="V15:W15"/>
    <mergeCell ref="V16:W16"/>
    <mergeCell ref="V17:W17"/>
    <mergeCell ref="U7:AA7"/>
    <mergeCell ref="U9:AA9"/>
    <mergeCell ref="U10:U11"/>
    <mergeCell ref="V10:W11"/>
    <mergeCell ref="X10:X11"/>
    <mergeCell ref="Y10:Y11"/>
    <mergeCell ref="Z10:Z11"/>
    <mergeCell ref="AA10:AA11"/>
    <mergeCell ref="C33:M33"/>
    <mergeCell ref="O33:R33"/>
    <mergeCell ref="C48:G49"/>
    <mergeCell ref="C50:G50"/>
    <mergeCell ref="G34:M34"/>
    <mergeCell ref="P35:R35"/>
    <mergeCell ref="P36:R36"/>
    <mergeCell ref="P37:R37"/>
    <mergeCell ref="P39:R39"/>
    <mergeCell ref="P40:R40"/>
    <mergeCell ref="C2:H3"/>
    <mergeCell ref="C4:R4"/>
    <mergeCell ref="C15:R15"/>
    <mergeCell ref="C17:R17"/>
    <mergeCell ref="C18:M18"/>
    <mergeCell ref="C34:F34"/>
    <mergeCell ref="N18:R19"/>
    <mergeCell ref="C19:I19"/>
    <mergeCell ref="J19:M19"/>
    <mergeCell ref="C30:M30"/>
    <mergeCell ref="P41:R41"/>
    <mergeCell ref="P43:R43"/>
    <mergeCell ref="P44:R44"/>
    <mergeCell ref="P45:R45"/>
    <mergeCell ref="P47:R47"/>
    <mergeCell ref="P48:R48"/>
    <mergeCell ref="C59:E59"/>
    <mergeCell ref="C46:F46"/>
    <mergeCell ref="I56:I57"/>
    <mergeCell ref="J56:J57"/>
    <mergeCell ref="K56:K57"/>
    <mergeCell ref="C53:K53"/>
    <mergeCell ref="C54:E57"/>
    <mergeCell ref="F55:F57"/>
    <mergeCell ref="I55:K55"/>
    <mergeCell ref="G56:G57"/>
    <mergeCell ref="C69:K69"/>
    <mergeCell ref="C7:R7"/>
    <mergeCell ref="F9:I9"/>
    <mergeCell ref="F12:I12"/>
    <mergeCell ref="F54:K54"/>
    <mergeCell ref="P49:R49"/>
    <mergeCell ref="P51:R51"/>
    <mergeCell ref="P52:R52"/>
    <mergeCell ref="P53:R53"/>
    <mergeCell ref="N57:R57"/>
    <mergeCell ref="AN63:AO63"/>
    <mergeCell ref="C66:E66"/>
    <mergeCell ref="C68:E68"/>
    <mergeCell ref="H56:H57"/>
    <mergeCell ref="C65:E65"/>
    <mergeCell ref="C60:E60"/>
    <mergeCell ref="C61:E61"/>
    <mergeCell ref="C63:K63"/>
    <mergeCell ref="C64:E64"/>
    <mergeCell ref="C58:K58"/>
    <mergeCell ref="L9:O9"/>
    <mergeCell ref="L12:O12"/>
    <mergeCell ref="AN7:AS7"/>
    <mergeCell ref="AN56:AS56"/>
    <mergeCell ref="AN69:AO69"/>
    <mergeCell ref="AE70:AF70"/>
    <mergeCell ref="AH70:AI70"/>
    <mergeCell ref="AQ9:AS9"/>
    <mergeCell ref="AQ10:AR10"/>
    <mergeCell ref="AQ11:AR11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C2:AY122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57421875" style="7" customWidth="1"/>
    <col min="10" max="10" width="8.28125" style="182" customWidth="1"/>
    <col min="11" max="11" width="7.7109375" style="182" customWidth="1"/>
    <col min="12" max="12" width="8.421875" style="182" bestFit="1" customWidth="1"/>
    <col min="13" max="13" width="8.8515625" style="182" customWidth="1"/>
    <col min="14" max="14" width="8.7109375" style="182" customWidth="1"/>
    <col min="15" max="15" width="7.7109375" style="182" customWidth="1"/>
    <col min="16" max="17" width="8.7109375" style="182" customWidth="1"/>
    <col min="18" max="18" width="8.574218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7.42187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39" max="39" width="27.140625" style="0" bestFit="1" customWidth="1"/>
    <col min="40" max="47" width="11.00390625" style="0" customWidth="1"/>
  </cols>
  <sheetData>
    <row r="2" spans="3:8" ht="12.75">
      <c r="C2" s="308"/>
      <c r="D2" s="308"/>
      <c r="E2" s="308"/>
      <c r="F2" s="308"/>
      <c r="G2" s="308"/>
      <c r="H2" s="308"/>
    </row>
    <row r="3" spans="3:8" ht="13.5" thickBot="1">
      <c r="C3" s="308"/>
      <c r="D3" s="308"/>
      <c r="E3" s="308"/>
      <c r="F3" s="308"/>
      <c r="G3" s="308"/>
      <c r="H3" s="308"/>
    </row>
    <row r="4" spans="3:18" s="24" customFormat="1" ht="19.5" thickBot="1">
      <c r="C4" s="272" t="s">
        <v>446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4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7" s="24" customFormat="1" ht="15" customHeight="1">
      <c r="C7" s="269" t="s">
        <v>479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U7" s="269" t="s">
        <v>490</v>
      </c>
      <c r="V7" s="269"/>
      <c r="W7" s="269"/>
      <c r="X7" s="269"/>
      <c r="Y7" s="269"/>
      <c r="Z7" s="269"/>
      <c r="AA7" s="269"/>
      <c r="AB7" s="159"/>
      <c r="AC7" s="159"/>
      <c r="AE7" s="269" t="s">
        <v>496</v>
      </c>
      <c r="AF7" s="269"/>
      <c r="AG7" s="269"/>
      <c r="AH7" s="269"/>
      <c r="AI7" s="269"/>
      <c r="AJ7" s="269"/>
      <c r="AK7" s="159"/>
      <c r="AM7" s="269" t="s">
        <v>498</v>
      </c>
      <c r="AN7" s="269"/>
      <c r="AO7" s="269"/>
      <c r="AP7" s="269"/>
      <c r="AQ7" s="269"/>
      <c r="AR7" s="269"/>
      <c r="AS7" s="269"/>
      <c r="AT7" s="269"/>
      <c r="AU7" s="269"/>
    </row>
    <row r="8" spans="3:47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M8" s="170"/>
      <c r="AN8" s="170"/>
      <c r="AO8" s="170"/>
      <c r="AP8" s="170"/>
      <c r="AQ8" s="170"/>
      <c r="AR8" s="170"/>
      <c r="AS8" s="170"/>
      <c r="AT8" s="170"/>
      <c r="AU8" s="170"/>
    </row>
    <row r="9" spans="6:47" s="24" customFormat="1" ht="15" customHeight="1">
      <c r="F9" s="263" t="s">
        <v>480</v>
      </c>
      <c r="G9" s="263"/>
      <c r="H9" s="263"/>
      <c r="I9" s="263"/>
      <c r="J9" s="263"/>
      <c r="K9" s="218"/>
      <c r="L9" s="263" t="s">
        <v>481</v>
      </c>
      <c r="M9" s="263"/>
      <c r="N9" s="263"/>
      <c r="O9" s="263"/>
      <c r="P9" s="218"/>
      <c r="U9" s="283" t="s">
        <v>491</v>
      </c>
      <c r="V9" s="283"/>
      <c r="W9" s="283"/>
      <c r="X9" s="283"/>
      <c r="Y9" s="283"/>
      <c r="Z9" s="283"/>
      <c r="AA9" s="283"/>
      <c r="AE9" s="339" t="s">
        <v>206</v>
      </c>
      <c r="AF9" s="339"/>
      <c r="AG9" s="339"/>
      <c r="AH9" s="339"/>
      <c r="AI9" s="339"/>
      <c r="AJ9" s="159"/>
      <c r="AM9" s="351" t="s">
        <v>7</v>
      </c>
      <c r="AN9" s="238" t="s">
        <v>4</v>
      </c>
      <c r="AO9" s="348" t="s">
        <v>8</v>
      </c>
      <c r="AP9" s="348" t="s">
        <v>442</v>
      </c>
      <c r="AQ9" s="348" t="s">
        <v>234</v>
      </c>
      <c r="AR9" s="348" t="s">
        <v>58</v>
      </c>
      <c r="AS9" s="348" t="s">
        <v>242</v>
      </c>
      <c r="AT9" s="349" t="s">
        <v>25</v>
      </c>
      <c r="AU9" s="350" t="s">
        <v>26</v>
      </c>
    </row>
    <row r="10" spans="6:47" s="24" customFormat="1" ht="15" customHeight="1">
      <c r="F10" s="263" t="s">
        <v>117</v>
      </c>
      <c r="G10" s="263"/>
      <c r="H10" s="217" t="s">
        <v>57</v>
      </c>
      <c r="I10" s="217" t="s">
        <v>59</v>
      </c>
      <c r="J10" s="217" t="s">
        <v>0</v>
      </c>
      <c r="K10" s="218"/>
      <c r="L10" s="217" t="s">
        <v>117</v>
      </c>
      <c r="M10" s="217" t="s">
        <v>57</v>
      </c>
      <c r="N10" s="217" t="s">
        <v>59</v>
      </c>
      <c r="O10" s="217" t="s">
        <v>4</v>
      </c>
      <c r="P10" s="218"/>
      <c r="U10" s="263" t="s">
        <v>56</v>
      </c>
      <c r="V10" s="334" t="s">
        <v>7</v>
      </c>
      <c r="W10" s="335"/>
      <c r="X10" s="263" t="s">
        <v>57</v>
      </c>
      <c r="Y10" s="263" t="s">
        <v>58</v>
      </c>
      <c r="Z10" s="328" t="s">
        <v>63</v>
      </c>
      <c r="AA10" s="263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M10" s="351"/>
      <c r="AN10" s="348" t="s">
        <v>9</v>
      </c>
      <c r="AO10" s="348"/>
      <c r="AP10" s="348"/>
      <c r="AQ10" s="348"/>
      <c r="AR10" s="348" t="s">
        <v>58</v>
      </c>
      <c r="AS10" s="348"/>
      <c r="AT10" s="349"/>
      <c r="AU10" s="350"/>
    </row>
    <row r="11" spans="6:47" s="24" customFormat="1" ht="15" customHeight="1">
      <c r="F11" s="266" t="s">
        <v>96</v>
      </c>
      <c r="G11" s="267"/>
      <c r="H11" s="28">
        <v>8.65</v>
      </c>
      <c r="I11" s="28">
        <v>4.3</v>
      </c>
      <c r="J11" s="156">
        <f>ROUND(((H11+2)*2)+((I11+2)*2),2)</f>
        <v>33.9</v>
      </c>
      <c r="K11" s="218"/>
      <c r="L11" s="158" t="s">
        <v>482</v>
      </c>
      <c r="M11" s="28">
        <v>16.6</v>
      </c>
      <c r="N11" s="28">
        <v>6.15</v>
      </c>
      <c r="O11" s="28">
        <f>M11*N11</f>
        <v>102.09000000000002</v>
      </c>
      <c r="P11" s="235"/>
      <c r="U11" s="263"/>
      <c r="V11" s="336"/>
      <c r="W11" s="337"/>
      <c r="X11" s="263"/>
      <c r="Y11" s="263"/>
      <c r="Z11" s="328"/>
      <c r="AA11" s="263"/>
      <c r="AE11" s="28" t="s">
        <v>512</v>
      </c>
      <c r="AF11" s="28">
        <v>14</v>
      </c>
      <c r="AG11" s="28">
        <v>3</v>
      </c>
      <c r="AH11" s="28">
        <f>1.6*2.1+1.2*2.1+2*1</f>
        <v>7.880000000000001</v>
      </c>
      <c r="AI11" s="28">
        <f>AF11*AG11-AH11</f>
        <v>34.12</v>
      </c>
      <c r="AJ11" s="49"/>
      <c r="AM11" s="351"/>
      <c r="AN11" s="348"/>
      <c r="AO11" s="348"/>
      <c r="AP11" s="348"/>
      <c r="AQ11" s="348"/>
      <c r="AR11" s="348"/>
      <c r="AS11" s="348"/>
      <c r="AT11" s="349"/>
      <c r="AU11" s="350"/>
    </row>
    <row r="12" spans="6:47" s="24" customFormat="1" ht="15" customHeight="1">
      <c r="F12" s="268" t="s">
        <v>539</v>
      </c>
      <c r="G12" s="268"/>
      <c r="H12" s="268"/>
      <c r="I12" s="268"/>
      <c r="J12" s="268"/>
      <c r="K12" s="218"/>
      <c r="L12" s="158" t="s">
        <v>510</v>
      </c>
      <c r="M12" s="28"/>
      <c r="N12" s="28"/>
      <c r="O12" s="28">
        <v>50.48</v>
      </c>
      <c r="P12" s="235"/>
      <c r="U12" s="158" t="s">
        <v>42</v>
      </c>
      <c r="V12" s="293" t="s">
        <v>90</v>
      </c>
      <c r="W12" s="294">
        <v>4.3</v>
      </c>
      <c r="X12" s="28">
        <v>4.3</v>
      </c>
      <c r="Y12" s="28">
        <v>4.37</v>
      </c>
      <c r="Z12" s="28">
        <f>2*2.1</f>
        <v>4.2</v>
      </c>
      <c r="AA12" s="28">
        <f aca="true" t="shared" si="0" ref="AA12:AA18">X12*Y12-Z12</f>
        <v>14.591000000000001</v>
      </c>
      <c r="AE12" s="28" t="s">
        <v>96</v>
      </c>
      <c r="AF12" s="28">
        <v>18.4</v>
      </c>
      <c r="AG12" s="28">
        <v>3</v>
      </c>
      <c r="AH12" s="28">
        <f>2*1.2*2.1+0.7*2.1+2*1</f>
        <v>8.51</v>
      </c>
      <c r="AI12" s="28">
        <f>AF12*AG12-AH12</f>
        <v>46.69</v>
      </c>
      <c r="AJ12" s="49"/>
      <c r="AM12" s="28" t="s">
        <v>512</v>
      </c>
      <c r="AN12" s="71">
        <v>12</v>
      </c>
      <c r="AO12" s="71">
        <v>14</v>
      </c>
      <c r="AP12" s="55">
        <f>1.6*2.1+1.2*2.1+2*1</f>
        <v>7.880000000000001</v>
      </c>
      <c r="AQ12" s="55">
        <v>0</v>
      </c>
      <c r="AR12" s="55">
        <v>3</v>
      </c>
      <c r="AS12" s="55">
        <f>AP12+AQ12</f>
        <v>7.880000000000001</v>
      </c>
      <c r="AT12" s="167">
        <f>(AO12*AR12)-AS12</f>
        <v>34.12</v>
      </c>
      <c r="AU12" s="168">
        <v>0</v>
      </c>
    </row>
    <row r="13" spans="6:47" s="24" customFormat="1" ht="15" customHeight="1">
      <c r="F13" s="242"/>
      <c r="G13" s="242"/>
      <c r="H13" s="242"/>
      <c r="I13" s="242"/>
      <c r="J13" s="242"/>
      <c r="K13" s="235"/>
      <c r="L13" s="268" t="s">
        <v>511</v>
      </c>
      <c r="M13" s="268"/>
      <c r="N13" s="268"/>
      <c r="O13" s="268"/>
      <c r="P13" s="235"/>
      <c r="U13" s="158" t="s">
        <v>42</v>
      </c>
      <c r="V13" s="293" t="s">
        <v>91</v>
      </c>
      <c r="W13" s="294">
        <v>4.3</v>
      </c>
      <c r="X13" s="28">
        <v>4.3</v>
      </c>
      <c r="Y13" s="28">
        <v>4.37</v>
      </c>
      <c r="Z13" s="28">
        <f>1.2*2.1</f>
        <v>2.52</v>
      </c>
      <c r="AA13" s="28">
        <f t="shared" si="0"/>
        <v>16.271</v>
      </c>
      <c r="AE13" s="28" t="s">
        <v>513</v>
      </c>
      <c r="AF13" s="28">
        <v>6.1</v>
      </c>
      <c r="AG13" s="28">
        <v>3</v>
      </c>
      <c r="AH13" s="28">
        <f>0.8*0.8+0.7*2.1</f>
        <v>2.1100000000000003</v>
      </c>
      <c r="AI13" s="28">
        <f>AF13*AG13-AH13</f>
        <v>16.189999999999998</v>
      </c>
      <c r="AJ13" s="49"/>
      <c r="AM13" s="28" t="s">
        <v>96</v>
      </c>
      <c r="AN13" s="71">
        <v>18.1</v>
      </c>
      <c r="AO13" s="71">
        <v>18.4</v>
      </c>
      <c r="AP13" s="55">
        <v>0</v>
      </c>
      <c r="AQ13" s="55">
        <v>0</v>
      </c>
      <c r="AR13" s="55">
        <v>0.9</v>
      </c>
      <c r="AS13" s="55">
        <f>AP13+AQ13</f>
        <v>0</v>
      </c>
      <c r="AT13" s="167">
        <f>(AO13*AR13)-AS13</f>
        <v>16.56</v>
      </c>
      <c r="AU13" s="168">
        <v>0</v>
      </c>
    </row>
    <row r="14" spans="6:47" s="24" customFormat="1" ht="15" customHeight="1">
      <c r="F14" s="242"/>
      <c r="G14" s="242"/>
      <c r="H14" s="242"/>
      <c r="I14" s="242"/>
      <c r="J14" s="242"/>
      <c r="K14" s="235"/>
      <c r="L14" s="322" t="s">
        <v>0</v>
      </c>
      <c r="M14" s="323"/>
      <c r="N14" s="324"/>
      <c r="O14" s="156">
        <f>SUM(O11:O12)</f>
        <v>152.57000000000002</v>
      </c>
      <c r="P14" s="235"/>
      <c r="U14" s="158" t="s">
        <v>43</v>
      </c>
      <c r="V14" s="293" t="s">
        <v>92</v>
      </c>
      <c r="W14" s="294">
        <v>8.35</v>
      </c>
      <c r="X14" s="28">
        <v>8.35</v>
      </c>
      <c r="Y14" s="28">
        <v>4.37</v>
      </c>
      <c r="Z14" s="28">
        <v>0</v>
      </c>
      <c r="AA14" s="28">
        <f t="shared" si="0"/>
        <v>36.4895</v>
      </c>
      <c r="AE14" s="28" t="s">
        <v>514</v>
      </c>
      <c r="AF14" s="28">
        <v>25.9</v>
      </c>
      <c r="AG14" s="28">
        <v>4.37</v>
      </c>
      <c r="AH14" s="28">
        <f>1.6*2.1+2*2.1+0.8*0.8+2*2.1+1.2*2.1</f>
        <v>14.920000000000002</v>
      </c>
      <c r="AI14" s="28">
        <f>AF14*AG14-AH14</f>
        <v>98.26299999999999</v>
      </c>
      <c r="AJ14" s="49"/>
      <c r="AM14" s="28" t="s">
        <v>513</v>
      </c>
      <c r="AN14" s="71">
        <v>2.22</v>
      </c>
      <c r="AO14" s="71">
        <v>6.1</v>
      </c>
      <c r="AP14" s="55">
        <f>0.8*0.4</f>
        <v>0.32000000000000006</v>
      </c>
      <c r="AQ14" s="55">
        <v>0</v>
      </c>
      <c r="AR14" s="55">
        <v>0.9</v>
      </c>
      <c r="AS14" s="55">
        <f>AP14+AQ14</f>
        <v>0.32000000000000006</v>
      </c>
      <c r="AT14" s="167">
        <f>(AO14*AR14)-AS14</f>
        <v>5.17</v>
      </c>
      <c r="AU14" s="168">
        <v>0</v>
      </c>
    </row>
    <row r="15" spans="3:47" s="24" customFormat="1" ht="15" customHeight="1">
      <c r="C15" s="218"/>
      <c r="D15" s="218"/>
      <c r="E15" s="218"/>
      <c r="F15" s="218"/>
      <c r="G15" s="218"/>
      <c r="H15" s="218"/>
      <c r="I15" s="218"/>
      <c r="J15" s="218"/>
      <c r="K15" s="218"/>
      <c r="P15" s="218"/>
      <c r="Q15" s="218"/>
      <c r="R15" s="218"/>
      <c r="U15" s="158" t="s">
        <v>43</v>
      </c>
      <c r="V15" s="293" t="s">
        <v>93</v>
      </c>
      <c r="W15" s="294">
        <v>8.35</v>
      </c>
      <c r="X15" s="28">
        <v>8.35</v>
      </c>
      <c r="Y15" s="28">
        <v>4.37</v>
      </c>
      <c r="Z15" s="28">
        <f>2*2*1+0.8*0.8</f>
        <v>4.640000000000001</v>
      </c>
      <c r="AA15" s="28">
        <f t="shared" si="0"/>
        <v>31.8495</v>
      </c>
      <c r="AE15" s="268" t="s">
        <v>67</v>
      </c>
      <c r="AF15" s="268"/>
      <c r="AG15" s="268"/>
      <c r="AH15" s="268"/>
      <c r="AI15" s="268"/>
      <c r="AJ15" s="49"/>
      <c r="AM15" s="345" t="s">
        <v>210</v>
      </c>
      <c r="AN15" s="345"/>
      <c r="AO15" s="345"/>
      <c r="AP15" s="345"/>
      <c r="AQ15" s="345"/>
      <c r="AR15" s="345"/>
      <c r="AS15" s="345"/>
      <c r="AT15" s="345"/>
      <c r="AU15" s="345"/>
    </row>
    <row r="16" spans="3:47" s="24" customFormat="1" ht="15" customHeight="1">
      <c r="C16" s="218"/>
      <c r="D16" s="218"/>
      <c r="E16" s="218"/>
      <c r="F16" s="218"/>
      <c r="G16" s="218"/>
      <c r="H16" s="218"/>
      <c r="I16" s="218"/>
      <c r="J16" s="218"/>
      <c r="K16" s="218"/>
      <c r="P16" s="218"/>
      <c r="Q16" s="218"/>
      <c r="R16" s="218"/>
      <c r="U16" s="158" t="s">
        <v>42</v>
      </c>
      <c r="V16" s="293" t="s">
        <v>94</v>
      </c>
      <c r="W16" s="294">
        <v>4</v>
      </c>
      <c r="X16" s="28">
        <v>4</v>
      </c>
      <c r="Y16" s="28">
        <v>3</v>
      </c>
      <c r="Z16" s="28">
        <f>1.2*2.1</f>
        <v>2.52</v>
      </c>
      <c r="AA16" s="28">
        <f t="shared" si="0"/>
        <v>9.48</v>
      </c>
      <c r="AE16" s="340" t="s">
        <v>207</v>
      </c>
      <c r="AF16" s="340"/>
      <c r="AG16" s="340"/>
      <c r="AH16" s="340"/>
      <c r="AI16" s="160">
        <f>ROUND(SUM(AI11:AI14),2)</f>
        <v>195.26</v>
      </c>
      <c r="AJ16" s="49"/>
      <c r="AM16" s="28" t="s">
        <v>514</v>
      </c>
      <c r="AN16" s="71">
        <v>0</v>
      </c>
      <c r="AO16" s="71">
        <v>25.9</v>
      </c>
      <c r="AP16" s="55">
        <f>1.6*2.1+2*2.1+0.8*0.8+2*2.1+1.2*2.1</f>
        <v>14.920000000000002</v>
      </c>
      <c r="AQ16" s="55">
        <v>0</v>
      </c>
      <c r="AR16" s="55">
        <v>4.37</v>
      </c>
      <c r="AS16" s="55">
        <f>AP16+AQ16</f>
        <v>14.920000000000002</v>
      </c>
      <c r="AT16" s="167">
        <f>(AO16*AR16)-AS16</f>
        <v>98.26299999999999</v>
      </c>
      <c r="AU16" s="168">
        <f>AN16</f>
        <v>0</v>
      </c>
    </row>
    <row r="17" spans="3:47" s="24" customFormat="1" ht="15" customHeight="1">
      <c r="C17" s="356" t="s">
        <v>471</v>
      </c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U17" s="158" t="s">
        <v>42</v>
      </c>
      <c r="V17" s="293" t="s">
        <v>95</v>
      </c>
      <c r="W17" s="294">
        <v>2</v>
      </c>
      <c r="X17" s="28">
        <v>2</v>
      </c>
      <c r="Y17" s="28">
        <v>3</v>
      </c>
      <c r="Z17" s="28">
        <v>0</v>
      </c>
      <c r="AA17" s="28">
        <f t="shared" si="0"/>
        <v>6</v>
      </c>
      <c r="AE17" s="27"/>
      <c r="AF17" s="38"/>
      <c r="AG17" s="39"/>
      <c r="AH17" s="39"/>
      <c r="AI17" s="38"/>
      <c r="AJ17" s="40"/>
      <c r="AM17" s="345" t="s">
        <v>73</v>
      </c>
      <c r="AN17" s="345"/>
      <c r="AO17" s="345"/>
      <c r="AP17" s="345"/>
      <c r="AQ17" s="345"/>
      <c r="AR17" s="345"/>
      <c r="AS17" s="345"/>
      <c r="AT17" s="345"/>
      <c r="AU17" s="345"/>
    </row>
    <row r="18" spans="3:47" s="24" customFormat="1" ht="15" customHeight="1">
      <c r="C18" s="27"/>
      <c r="D18" s="23"/>
      <c r="E18" s="23"/>
      <c r="F18" s="23"/>
      <c r="G18" s="23"/>
      <c r="H18" s="23"/>
      <c r="I18" s="103"/>
      <c r="U18" s="158" t="s">
        <v>43</v>
      </c>
      <c r="V18" s="293" t="s">
        <v>95</v>
      </c>
      <c r="W18" s="294">
        <v>1.2</v>
      </c>
      <c r="X18" s="28">
        <v>1.2</v>
      </c>
      <c r="Y18" s="28">
        <v>3</v>
      </c>
      <c r="Z18" s="28">
        <f>0.6*2.1</f>
        <v>1.26</v>
      </c>
      <c r="AA18" s="28">
        <f t="shared" si="0"/>
        <v>2.34</v>
      </c>
      <c r="AE18" s="27"/>
      <c r="AF18" s="38"/>
      <c r="AG18" s="39"/>
      <c r="AH18" s="39"/>
      <c r="AI18" s="38"/>
      <c r="AJ18" s="40"/>
      <c r="AM18" s="65"/>
      <c r="AN18" s="169"/>
      <c r="AO18" s="169"/>
      <c r="AP18" s="169"/>
      <c r="AQ18" s="169"/>
      <c r="AR18" s="169"/>
      <c r="AS18" s="169"/>
      <c r="AT18" s="169"/>
      <c r="AU18" s="169"/>
    </row>
    <row r="19" spans="3:47" s="24" customFormat="1" ht="15" customHeight="1">
      <c r="C19" s="357" t="s">
        <v>166</v>
      </c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9"/>
      <c r="U19" s="268" t="s">
        <v>67</v>
      </c>
      <c r="V19" s="268"/>
      <c r="W19" s="268"/>
      <c r="X19" s="268"/>
      <c r="Y19" s="268"/>
      <c r="Z19" s="268"/>
      <c r="AA19" s="268"/>
      <c r="AE19" s="339" t="s">
        <v>208</v>
      </c>
      <c r="AF19" s="339"/>
      <c r="AG19" s="339"/>
      <c r="AH19" s="339"/>
      <c r="AI19" s="339"/>
      <c r="AJ19" s="339"/>
      <c r="AM19" s="346" t="s">
        <v>499</v>
      </c>
      <c r="AN19" s="346"/>
      <c r="AO19" s="171">
        <f>ROUND(SUM(AT12:AT16),2)</f>
        <v>154.11</v>
      </c>
      <c r="AQ19"/>
      <c r="AR19"/>
      <c r="AS19"/>
      <c r="AT19"/>
      <c r="AU19"/>
    </row>
    <row r="20" spans="3:47" s="24" customFormat="1" ht="15" customHeight="1">
      <c r="C20" s="312" t="s">
        <v>477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315" t="s">
        <v>129</v>
      </c>
      <c r="O20" s="316"/>
      <c r="P20" s="316"/>
      <c r="Q20" s="316"/>
      <c r="R20" s="317"/>
      <c r="U20" s="321" t="s">
        <v>0</v>
      </c>
      <c r="V20" s="321"/>
      <c r="W20" s="321"/>
      <c r="X20" s="321"/>
      <c r="Y20" s="321"/>
      <c r="Z20" s="321"/>
      <c r="AA20" s="156">
        <f>ROUND(SUM(AA12:AA18),2)</f>
        <v>117.02</v>
      </c>
      <c r="AE20" s="328" t="s">
        <v>7</v>
      </c>
      <c r="AF20" s="328" t="s">
        <v>8</v>
      </c>
      <c r="AG20" s="328" t="s">
        <v>58</v>
      </c>
      <c r="AH20" s="328" t="s">
        <v>63</v>
      </c>
      <c r="AI20" s="328" t="s">
        <v>234</v>
      </c>
      <c r="AJ20" s="328" t="s">
        <v>55</v>
      </c>
      <c r="AM20" s="346" t="s">
        <v>500</v>
      </c>
      <c r="AN20" s="346"/>
      <c r="AO20" s="171">
        <f>ROUND(SUM(AU12:AU14),2)</f>
        <v>0</v>
      </c>
      <c r="AP20" s="23"/>
      <c r="AQ20"/>
      <c r="AR20"/>
      <c r="AS20"/>
      <c r="AT20"/>
      <c r="AU20"/>
    </row>
    <row r="21" spans="3:47" s="24" customFormat="1" ht="15" customHeight="1">
      <c r="C21" s="312" t="s">
        <v>163</v>
      </c>
      <c r="D21" s="313"/>
      <c r="E21" s="313"/>
      <c r="F21" s="313"/>
      <c r="G21" s="313"/>
      <c r="H21" s="313"/>
      <c r="I21" s="314"/>
      <c r="J21" s="329" t="s">
        <v>463</v>
      </c>
      <c r="K21" s="330"/>
      <c r="L21" s="330"/>
      <c r="M21" s="331"/>
      <c r="N21" s="318"/>
      <c r="O21" s="319"/>
      <c r="P21" s="319"/>
      <c r="Q21" s="319"/>
      <c r="R21" s="320"/>
      <c r="U21"/>
      <c r="V21"/>
      <c r="W21"/>
      <c r="X21"/>
      <c r="Y21"/>
      <c r="Z21"/>
      <c r="AA21"/>
      <c r="AB21"/>
      <c r="AC21"/>
      <c r="AE21" s="328"/>
      <c r="AF21" s="328"/>
      <c r="AG21" s="328"/>
      <c r="AH21" s="328"/>
      <c r="AI21" s="328"/>
      <c r="AJ21" s="328"/>
      <c r="AK21"/>
      <c r="AM21"/>
      <c r="AN21"/>
      <c r="AO21"/>
      <c r="AP21"/>
      <c r="AQ21"/>
      <c r="AR21"/>
      <c r="AS21"/>
      <c r="AT21"/>
      <c r="AU21"/>
    </row>
    <row r="22" spans="3:47" s="24" customFormat="1" ht="15" customHeight="1">
      <c r="C22" s="192" t="s">
        <v>162</v>
      </c>
      <c r="D22" s="192" t="s">
        <v>161</v>
      </c>
      <c r="E22" s="192" t="s">
        <v>160</v>
      </c>
      <c r="F22" s="192" t="s">
        <v>159</v>
      </c>
      <c r="G22" s="193" t="s">
        <v>158</v>
      </c>
      <c r="H22" s="193" t="s">
        <v>157</v>
      </c>
      <c r="I22" s="193" t="s">
        <v>156</v>
      </c>
      <c r="J22" s="193" t="s">
        <v>155</v>
      </c>
      <c r="K22" s="193" t="s">
        <v>154</v>
      </c>
      <c r="L22" s="192" t="s">
        <v>469</v>
      </c>
      <c r="M22" s="192" t="s">
        <v>153</v>
      </c>
      <c r="N22" s="189" t="s">
        <v>462</v>
      </c>
      <c r="O22" s="192" t="s">
        <v>137</v>
      </c>
      <c r="P22" s="192" t="s">
        <v>136</v>
      </c>
      <c r="Q22" s="192" t="s">
        <v>134</v>
      </c>
      <c r="R22" s="192" t="s">
        <v>135</v>
      </c>
      <c r="U22"/>
      <c r="V22"/>
      <c r="W22"/>
      <c r="X22"/>
      <c r="Y22"/>
      <c r="Z22"/>
      <c r="AA22"/>
      <c r="AB22"/>
      <c r="AC22"/>
      <c r="AE22" s="28" t="s">
        <v>103</v>
      </c>
      <c r="AF22" s="28">
        <v>14</v>
      </c>
      <c r="AG22" s="28">
        <v>3</v>
      </c>
      <c r="AH22" s="28">
        <v>7.880000000000001</v>
      </c>
      <c r="AI22" s="28">
        <v>0</v>
      </c>
      <c r="AJ22" s="28">
        <v>34.12</v>
      </c>
      <c r="AK22"/>
      <c r="AM22"/>
      <c r="AN22"/>
      <c r="AO22"/>
      <c r="AP22"/>
      <c r="AQ22"/>
      <c r="AR22"/>
      <c r="AS22"/>
      <c r="AT22"/>
      <c r="AU22"/>
    </row>
    <row r="23" spans="3:47" s="24" customFormat="1" ht="15" customHeight="1">
      <c r="C23" s="190" t="s">
        <v>152</v>
      </c>
      <c r="D23" s="190" t="s">
        <v>151</v>
      </c>
      <c r="E23" s="190" t="s">
        <v>151</v>
      </c>
      <c r="F23" s="190" t="s">
        <v>124</v>
      </c>
      <c r="G23" s="190" t="s">
        <v>151</v>
      </c>
      <c r="H23" s="190" t="s">
        <v>151</v>
      </c>
      <c r="I23" s="190" t="s">
        <v>151</v>
      </c>
      <c r="J23" s="190" t="s">
        <v>151</v>
      </c>
      <c r="K23" s="190" t="s">
        <v>151</v>
      </c>
      <c r="L23" s="190" t="s">
        <v>124</v>
      </c>
      <c r="M23" s="190" t="s">
        <v>151</v>
      </c>
      <c r="N23" s="190" t="s">
        <v>123</v>
      </c>
      <c r="O23" s="190" t="s">
        <v>124</v>
      </c>
      <c r="P23" s="190" t="s">
        <v>123</v>
      </c>
      <c r="Q23" s="190" t="s">
        <v>123</v>
      </c>
      <c r="R23" s="190" t="s">
        <v>123</v>
      </c>
      <c r="U23" s="283" t="s">
        <v>492</v>
      </c>
      <c r="V23" s="283"/>
      <c r="W23" s="283"/>
      <c r="X23" s="283"/>
      <c r="Y23" s="283"/>
      <c r="Z23" s="53"/>
      <c r="AA23" s="53"/>
      <c r="AB23" s="57"/>
      <c r="AC23" s="47"/>
      <c r="AE23" s="28" t="s">
        <v>96</v>
      </c>
      <c r="AF23" s="28">
        <v>18.4</v>
      </c>
      <c r="AG23" s="28">
        <v>0.9</v>
      </c>
      <c r="AH23" s="28">
        <v>0</v>
      </c>
      <c r="AI23" s="28">
        <v>0</v>
      </c>
      <c r="AJ23" s="28">
        <v>16.56</v>
      </c>
      <c r="AK23"/>
      <c r="AM23"/>
      <c r="AN23"/>
      <c r="AO23"/>
      <c r="AP23"/>
      <c r="AQ23"/>
      <c r="AR23"/>
      <c r="AS23"/>
      <c r="AT23"/>
      <c r="AU23"/>
    </row>
    <row r="24" spans="3:47" s="24" customFormat="1" ht="15" customHeight="1">
      <c r="C24" s="196" t="s">
        <v>150</v>
      </c>
      <c r="D24" s="197">
        <v>0.8</v>
      </c>
      <c r="E24" s="197">
        <v>0.9</v>
      </c>
      <c r="F24" s="198">
        <f aca="true" t="shared" si="1" ref="F24:F30">D24*E24</f>
        <v>0.7200000000000001</v>
      </c>
      <c r="G24" s="199">
        <v>0.2</v>
      </c>
      <c r="H24" s="200">
        <v>0.3</v>
      </c>
      <c r="I24" s="201">
        <v>1.5</v>
      </c>
      <c r="J24" s="202">
        <v>0.15</v>
      </c>
      <c r="K24" s="202">
        <v>0.3</v>
      </c>
      <c r="L24" s="203">
        <f aca="true" t="shared" si="2" ref="L24:L30">J24*K24</f>
        <v>0.045</v>
      </c>
      <c r="M24" s="204">
        <f aca="true" t="shared" si="3" ref="M24:M30">I24-H24</f>
        <v>1.2</v>
      </c>
      <c r="N24" s="198">
        <f>(D24+0.1)*(E24+0.1)*(I24+0.05)</f>
        <v>1.395</v>
      </c>
      <c r="O24" s="198">
        <f>(D24+0.1)*(E24+0.1)</f>
        <v>0.9</v>
      </c>
      <c r="P24" s="198">
        <f aca="true" t="shared" si="4" ref="P24:P30">O24*0.05</f>
        <v>0.045000000000000005</v>
      </c>
      <c r="Q24" s="205">
        <f aca="true" t="shared" si="5" ref="Q24:Q30">(F24*H24)+(L24*M24)+P24</f>
        <v>0.315</v>
      </c>
      <c r="R24" s="198">
        <f aca="true" t="shared" si="6" ref="R24:R30">N24-Q24</f>
        <v>1.08</v>
      </c>
      <c r="U24" s="163" t="s">
        <v>31</v>
      </c>
      <c r="V24" s="163" t="s">
        <v>59</v>
      </c>
      <c r="W24" s="163" t="s">
        <v>10</v>
      </c>
      <c r="X24" s="163" t="s">
        <v>64</v>
      </c>
      <c r="Y24" s="163" t="s">
        <v>54</v>
      </c>
      <c r="Z24" s="237"/>
      <c r="AA24" s="58"/>
      <c r="AB24" s="47" t="s">
        <v>49</v>
      </c>
      <c r="AC24" s="47" t="s">
        <v>50</v>
      </c>
      <c r="AE24" s="28" t="s">
        <v>40</v>
      </c>
      <c r="AF24" s="28">
        <v>6.1</v>
      </c>
      <c r="AG24" s="28">
        <v>0.9</v>
      </c>
      <c r="AH24" s="28">
        <v>0.32000000000000006</v>
      </c>
      <c r="AI24" s="28">
        <v>0</v>
      </c>
      <c r="AJ24" s="28">
        <v>5.17</v>
      </c>
      <c r="AK24"/>
      <c r="AM24" s="269" t="s">
        <v>501</v>
      </c>
      <c r="AN24" s="269"/>
      <c r="AO24" s="269"/>
      <c r="AP24" s="269"/>
      <c r="AQ24" s="269"/>
      <c r="AR24" s="159"/>
      <c r="AS24"/>
      <c r="AT24"/>
      <c r="AU24"/>
    </row>
    <row r="25" spans="3:49" s="24" customFormat="1" ht="15" customHeight="1">
      <c r="C25" s="196" t="s">
        <v>149</v>
      </c>
      <c r="D25" s="197">
        <v>1.1</v>
      </c>
      <c r="E25" s="197">
        <v>1.2</v>
      </c>
      <c r="F25" s="198">
        <f t="shared" si="1"/>
        <v>1.32</v>
      </c>
      <c r="G25" s="199">
        <v>0.2</v>
      </c>
      <c r="H25" s="200">
        <v>0.4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1.1</v>
      </c>
      <c r="N25" s="198">
        <f aca="true" t="shared" si="7" ref="N25:N30">(D25+0.1)*(E25+0.1)*(I25+0.05)</f>
        <v>2.4180000000000006</v>
      </c>
      <c r="O25" s="198">
        <f aca="true" t="shared" si="8" ref="O25:O30">(D25+0.1)*(E25+0.1)</f>
        <v>1.5600000000000003</v>
      </c>
      <c r="P25" s="198">
        <f t="shared" si="4"/>
        <v>0.07800000000000001</v>
      </c>
      <c r="Q25" s="205">
        <f t="shared" si="5"/>
        <v>0.6555</v>
      </c>
      <c r="R25" s="198">
        <f t="shared" si="6"/>
        <v>1.7625000000000006</v>
      </c>
      <c r="U25" s="230" t="s">
        <v>108</v>
      </c>
      <c r="V25" s="230">
        <v>1.6</v>
      </c>
      <c r="W25" s="230">
        <v>0.3</v>
      </c>
      <c r="X25" s="230">
        <v>1</v>
      </c>
      <c r="Y25" s="230">
        <f>((V25+(2*W25))*X25)</f>
        <v>2.2</v>
      </c>
      <c r="Z25" s="226"/>
      <c r="AA25" s="58"/>
      <c r="AB25" s="47">
        <f>IF(V25&lt;=1.5,((V25+(2*W25))*X25),0)</f>
        <v>0</v>
      </c>
      <c r="AC25" s="47">
        <f>IF(V25&gt;1.5,((V25+(2*W25))*X25),0)</f>
        <v>2.2</v>
      </c>
      <c r="AE25" s="28" t="s">
        <v>514</v>
      </c>
      <c r="AF25" s="28">
        <v>25.9</v>
      </c>
      <c r="AG25" s="28">
        <v>4.37</v>
      </c>
      <c r="AH25" s="28">
        <v>14.920000000000002</v>
      </c>
      <c r="AI25" s="28">
        <v>0</v>
      </c>
      <c r="AJ25" s="28">
        <v>98.26299999999999</v>
      </c>
      <c r="AK25"/>
      <c r="AM25"/>
      <c r="AN25"/>
      <c r="AO25"/>
      <c r="AP25"/>
      <c r="AQ25"/>
      <c r="AR25"/>
      <c r="AS25"/>
      <c r="AT25"/>
      <c r="AU25"/>
      <c r="AW25"/>
    </row>
    <row r="26" spans="3:49" s="24" customFormat="1" ht="15" customHeight="1">
      <c r="C26" s="196" t="s">
        <v>148</v>
      </c>
      <c r="D26" s="197">
        <v>0.9</v>
      </c>
      <c r="E26" s="197">
        <v>0.9</v>
      </c>
      <c r="F26" s="198">
        <f t="shared" si="1"/>
        <v>0.81</v>
      </c>
      <c r="G26" s="199">
        <v>0.2</v>
      </c>
      <c r="H26" s="200">
        <v>0.3</v>
      </c>
      <c r="I26" s="201">
        <v>1.5</v>
      </c>
      <c r="J26" s="202">
        <v>0.2</v>
      </c>
      <c r="K26" s="202">
        <v>0.3</v>
      </c>
      <c r="L26" s="203">
        <f t="shared" si="2"/>
        <v>0.06</v>
      </c>
      <c r="M26" s="204">
        <f t="shared" si="3"/>
        <v>1.2</v>
      </c>
      <c r="N26" s="198">
        <f t="shared" si="7"/>
        <v>1.55</v>
      </c>
      <c r="O26" s="198">
        <f t="shared" si="8"/>
        <v>1</v>
      </c>
      <c r="P26" s="198">
        <f t="shared" si="4"/>
        <v>0.05</v>
      </c>
      <c r="Q26" s="205">
        <f t="shared" si="5"/>
        <v>0.365</v>
      </c>
      <c r="R26" s="198">
        <f t="shared" si="6"/>
        <v>1.185</v>
      </c>
      <c r="U26" s="230" t="s">
        <v>37</v>
      </c>
      <c r="V26" s="230">
        <v>1.2</v>
      </c>
      <c r="W26" s="230">
        <v>0.3</v>
      </c>
      <c r="X26" s="230">
        <v>2</v>
      </c>
      <c r="Y26" s="230">
        <f>((V26+(2*W26))*X26)</f>
        <v>3.5999999999999996</v>
      </c>
      <c r="Z26" s="226"/>
      <c r="AA26" s="58"/>
      <c r="AB26" s="47">
        <f>IF(V26&lt;=1.5,((V26+(2*W26))*X26),0)</f>
        <v>3.5999999999999996</v>
      </c>
      <c r="AC26" s="47">
        <f>IF(V26&gt;1.5,((V26+(2*W26))*X26),0)</f>
        <v>0</v>
      </c>
      <c r="AE26" s="268" t="s">
        <v>209</v>
      </c>
      <c r="AF26" s="268"/>
      <c r="AG26" s="268"/>
      <c r="AH26" s="268"/>
      <c r="AI26" s="268"/>
      <c r="AJ26" s="268"/>
      <c r="AK26"/>
      <c r="AL26"/>
      <c r="AM26" s="344" t="s">
        <v>36</v>
      </c>
      <c r="AN26" s="344"/>
      <c r="AO26" s="344"/>
      <c r="AP26" s="344"/>
      <c r="AQ26" s="344"/>
      <c r="AR26"/>
      <c r="AS26"/>
      <c r="AT26"/>
      <c r="AU26"/>
      <c r="AV26"/>
      <c r="AW26"/>
    </row>
    <row r="27" spans="3:51" s="24" customFormat="1" ht="15" customHeight="1">
      <c r="C27" s="196" t="s">
        <v>147</v>
      </c>
      <c r="D27" s="197">
        <v>0.6</v>
      </c>
      <c r="E27" s="197">
        <v>0.7</v>
      </c>
      <c r="F27" s="198">
        <f t="shared" si="1"/>
        <v>0.42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7"/>
        <v>0.8679999999999999</v>
      </c>
      <c r="O27" s="198">
        <f t="shared" si="8"/>
        <v>0.5599999999999999</v>
      </c>
      <c r="P27" s="198">
        <f t="shared" si="4"/>
        <v>0.027999999999999997</v>
      </c>
      <c r="Q27" s="205">
        <f t="shared" si="5"/>
        <v>0.208</v>
      </c>
      <c r="R27" s="198">
        <f t="shared" si="6"/>
        <v>0.6599999999999999</v>
      </c>
      <c r="U27" s="230" t="s">
        <v>106</v>
      </c>
      <c r="V27" s="230">
        <v>0.7</v>
      </c>
      <c r="W27" s="230">
        <v>0.3</v>
      </c>
      <c r="X27" s="230">
        <v>1</v>
      </c>
      <c r="Y27" s="230">
        <f>((V27+(2*W27))*X27)</f>
        <v>1.2999999999999998</v>
      </c>
      <c r="Z27" s="226"/>
      <c r="AA27" s="58"/>
      <c r="AB27" s="47">
        <f>IF(V27&lt;=1.5,((V27+(2*W27))*X27),0)</f>
        <v>1.2999999999999998</v>
      </c>
      <c r="AC27" s="47">
        <f>IF(V27&gt;1.5,((V27+(2*W27))*X27),0)</f>
        <v>0</v>
      </c>
      <c r="AE27" s="342" t="s">
        <v>207</v>
      </c>
      <c r="AF27" s="342"/>
      <c r="AG27" s="342"/>
      <c r="AH27" s="342"/>
      <c r="AI27" s="342"/>
      <c r="AJ27" s="160">
        <f>ROUND(SUM(AJ22:AJ25),2)</f>
        <v>154.11</v>
      </c>
      <c r="AK27"/>
      <c r="AL27"/>
      <c r="AM27" s="163" t="s">
        <v>2</v>
      </c>
      <c r="AN27" s="163" t="s">
        <v>59</v>
      </c>
      <c r="AO27" s="163" t="s">
        <v>58</v>
      </c>
      <c r="AP27" s="163" t="s">
        <v>64</v>
      </c>
      <c r="AQ27" s="163" t="s">
        <v>32</v>
      </c>
      <c r="AR27"/>
      <c r="AS27"/>
      <c r="AT27"/>
      <c r="AU27"/>
      <c r="AV27"/>
      <c r="AW27"/>
      <c r="AX27"/>
      <c r="AY27"/>
    </row>
    <row r="28" spans="3:51" s="24" customFormat="1" ht="15" customHeight="1">
      <c r="C28" s="196" t="s">
        <v>146</v>
      </c>
      <c r="D28" s="197">
        <v>0.8</v>
      </c>
      <c r="E28" s="197">
        <v>0.9</v>
      </c>
      <c r="F28" s="198">
        <f t="shared" si="1"/>
        <v>0.7200000000000001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2"/>
        <v>0.045</v>
      </c>
      <c r="M28" s="204">
        <f t="shared" si="3"/>
        <v>1.2</v>
      </c>
      <c r="N28" s="198">
        <f t="shared" si="7"/>
        <v>1.395</v>
      </c>
      <c r="O28" s="198">
        <f t="shared" si="8"/>
        <v>0.9</v>
      </c>
      <c r="P28" s="198">
        <f t="shared" si="4"/>
        <v>0.045000000000000005</v>
      </c>
      <c r="Q28" s="205">
        <f t="shared" si="5"/>
        <v>0.315</v>
      </c>
      <c r="R28" s="198">
        <f t="shared" si="6"/>
        <v>1.08</v>
      </c>
      <c r="U28" s="230" t="s">
        <v>112</v>
      </c>
      <c r="V28" s="230">
        <v>2</v>
      </c>
      <c r="W28" s="230">
        <v>0.3</v>
      </c>
      <c r="X28" s="230">
        <v>2</v>
      </c>
      <c r="Y28" s="230">
        <f>((V28+(2*W28))*X28)</f>
        <v>5.2</v>
      </c>
      <c r="Z28" s="226"/>
      <c r="AA28" s="56"/>
      <c r="AB28" s="47">
        <f>IF(V28&lt;=1.5,((V28+(2*W28))*X28),0)</f>
        <v>0</v>
      </c>
      <c r="AC28" s="47">
        <f>IF(V28&gt;1.5,((V28+(2*W28))*X28),0)</f>
        <v>5.2</v>
      </c>
      <c r="AE28" s="27"/>
      <c r="AF28" s="38"/>
      <c r="AG28" s="39"/>
      <c r="AH28" s="39"/>
      <c r="AI28" s="38"/>
      <c r="AJ28" s="40"/>
      <c r="AK28"/>
      <c r="AL28"/>
      <c r="AM28" s="230" t="s">
        <v>108</v>
      </c>
      <c r="AN28" s="28">
        <v>1.6</v>
      </c>
      <c r="AO28" s="230">
        <v>2.1</v>
      </c>
      <c r="AP28" s="28">
        <v>1</v>
      </c>
      <c r="AQ28" s="230">
        <f>2*(AN28*AO28*AP28+0.035*AN28+0.035*AO28)</f>
        <v>6.979000000000001</v>
      </c>
      <c r="AR28"/>
      <c r="AS28"/>
      <c r="AT28"/>
      <c r="AU28"/>
      <c r="AV28"/>
      <c r="AW28"/>
      <c r="AX28"/>
      <c r="AY28"/>
    </row>
    <row r="29" spans="3:43" ht="15" customHeight="1">
      <c r="C29" s="196" t="s">
        <v>145</v>
      </c>
      <c r="D29" s="197">
        <v>1</v>
      </c>
      <c r="E29" s="197">
        <v>1.1</v>
      </c>
      <c r="F29" s="198">
        <f t="shared" si="1"/>
        <v>1.1</v>
      </c>
      <c r="G29" s="199">
        <v>0.2</v>
      </c>
      <c r="H29" s="200">
        <v>0.3</v>
      </c>
      <c r="I29" s="201">
        <v>1.5</v>
      </c>
      <c r="J29" s="202">
        <v>0.15</v>
      </c>
      <c r="K29" s="202">
        <v>0.3</v>
      </c>
      <c r="L29" s="203">
        <f t="shared" si="2"/>
        <v>0.045</v>
      </c>
      <c r="M29" s="204">
        <f t="shared" si="3"/>
        <v>1.2</v>
      </c>
      <c r="N29" s="198">
        <f t="shared" si="7"/>
        <v>2.0460000000000007</v>
      </c>
      <c r="O29" s="198">
        <f t="shared" si="8"/>
        <v>1.3200000000000003</v>
      </c>
      <c r="P29" s="198">
        <f t="shared" si="4"/>
        <v>0.06600000000000002</v>
      </c>
      <c r="Q29" s="205">
        <f t="shared" si="5"/>
        <v>0.45</v>
      </c>
      <c r="R29" s="198">
        <f t="shared" si="6"/>
        <v>1.5960000000000008</v>
      </c>
      <c r="U29" s="230" t="s">
        <v>114</v>
      </c>
      <c r="V29" s="230">
        <v>0.8</v>
      </c>
      <c r="W29" s="230">
        <v>0.3</v>
      </c>
      <c r="X29" s="230">
        <v>1</v>
      </c>
      <c r="Y29" s="230">
        <f>((V29+(2*W29))*X29)</f>
        <v>1.4</v>
      </c>
      <c r="Z29" s="226"/>
      <c r="AA29" s="56"/>
      <c r="AB29" s="47">
        <f>IF(V29&lt;=1.5,((V29+(2*W29))*X29),0)</f>
        <v>1.4</v>
      </c>
      <c r="AC29" s="47">
        <f>IF(V29&gt;1.5,((V29+(2*W29))*X29),0)</f>
        <v>0</v>
      </c>
      <c r="AE29" s="27"/>
      <c r="AF29" s="38"/>
      <c r="AG29" s="39"/>
      <c r="AH29" s="39"/>
      <c r="AI29" s="38"/>
      <c r="AJ29" s="40"/>
      <c r="AM29" s="230" t="s">
        <v>37</v>
      </c>
      <c r="AN29" s="28">
        <v>1.2</v>
      </c>
      <c r="AO29" s="230">
        <v>2.1</v>
      </c>
      <c r="AP29" s="28">
        <v>2</v>
      </c>
      <c r="AQ29" s="230">
        <f>2*(AN29*AO29*AP29+0.035*AN29+0.035*AO29)</f>
        <v>10.311</v>
      </c>
    </row>
    <row r="30" spans="3:43" ht="15" customHeight="1">
      <c r="C30" s="196" t="s">
        <v>144</v>
      </c>
      <c r="D30" s="197">
        <v>0.9</v>
      </c>
      <c r="E30" s="197">
        <v>1</v>
      </c>
      <c r="F30" s="198">
        <f t="shared" si="1"/>
        <v>0.9</v>
      </c>
      <c r="G30" s="199">
        <v>0.2</v>
      </c>
      <c r="H30" s="200">
        <v>0.3</v>
      </c>
      <c r="I30" s="201">
        <v>1.5</v>
      </c>
      <c r="J30" s="202">
        <v>0.2</v>
      </c>
      <c r="K30" s="202">
        <v>0.3</v>
      </c>
      <c r="L30" s="203">
        <f t="shared" si="2"/>
        <v>0.06</v>
      </c>
      <c r="M30" s="204">
        <f t="shared" si="3"/>
        <v>1.2</v>
      </c>
      <c r="N30" s="198">
        <f t="shared" si="7"/>
        <v>1.7050000000000003</v>
      </c>
      <c r="O30" s="198">
        <f t="shared" si="8"/>
        <v>1.1</v>
      </c>
      <c r="P30" s="198">
        <f t="shared" si="4"/>
        <v>0.05500000000000001</v>
      </c>
      <c r="Q30" s="205">
        <f t="shared" si="5"/>
        <v>0.397</v>
      </c>
      <c r="R30" s="198">
        <f t="shared" si="6"/>
        <v>1.3080000000000003</v>
      </c>
      <c r="U30" s="284" t="s">
        <v>71</v>
      </c>
      <c r="V30" s="284"/>
      <c r="W30" s="284"/>
      <c r="X30" s="284"/>
      <c r="Y30" s="284"/>
      <c r="Z30" s="61"/>
      <c r="AB30" s="47"/>
      <c r="AC30" s="47"/>
      <c r="AE30" s="339" t="s">
        <v>52</v>
      </c>
      <c r="AF30" s="339"/>
      <c r="AG30" s="339"/>
      <c r="AH30" s="339"/>
      <c r="AI30" s="339"/>
      <c r="AJ30" s="159"/>
      <c r="AM30" s="230" t="s">
        <v>106</v>
      </c>
      <c r="AN30" s="28">
        <v>0.7</v>
      </c>
      <c r="AO30" s="230">
        <v>2.1</v>
      </c>
      <c r="AP30" s="28">
        <v>1</v>
      </c>
      <c r="AQ30" s="230">
        <f>2*(AN30*AO30*AP30+0.035*AN30+0.035*AO30)</f>
        <v>3.136</v>
      </c>
    </row>
    <row r="31" spans="3:43" ht="15" customHeight="1">
      <c r="C31" s="325" t="s">
        <v>138</v>
      </c>
      <c r="D31" s="326"/>
      <c r="E31" s="326"/>
      <c r="F31" s="326"/>
      <c r="G31" s="326"/>
      <c r="H31" s="326"/>
      <c r="I31" s="326"/>
      <c r="J31" s="326"/>
      <c r="K31" s="326"/>
      <c r="L31" s="326"/>
      <c r="M31" s="327"/>
      <c r="N31" s="206">
        <f>ROUND(SUM(N24:N30),2)</f>
        <v>11.38</v>
      </c>
      <c r="O31" s="207">
        <f>ROUND(SUM(O24:O30),2)</f>
        <v>7.34</v>
      </c>
      <c r="P31" s="207">
        <f>ROUND(SUM(P24:P30),2)</f>
        <v>0.37</v>
      </c>
      <c r="Q31" s="207">
        <f>ROUND(SUM(Q24:Q30),2)</f>
        <v>2.71</v>
      </c>
      <c r="R31" s="207">
        <f>ROUND(SUM(R24:R30),2)</f>
        <v>8.67</v>
      </c>
      <c r="U31" s="263" t="s">
        <v>0</v>
      </c>
      <c r="V31" s="361" t="s">
        <v>45</v>
      </c>
      <c r="W31" s="361"/>
      <c r="X31" s="263" t="s">
        <v>46</v>
      </c>
      <c r="Y31" s="263"/>
      <c r="Z31" s="228"/>
      <c r="AB31" s="47"/>
      <c r="AC31" s="47"/>
      <c r="AE31" s="163" t="s">
        <v>7</v>
      </c>
      <c r="AF31" s="163" t="s">
        <v>8</v>
      </c>
      <c r="AG31" s="163" t="s">
        <v>58</v>
      </c>
      <c r="AH31" s="163" t="s">
        <v>508</v>
      </c>
      <c r="AI31" s="163" t="s">
        <v>55</v>
      </c>
      <c r="AJ31" s="24"/>
      <c r="AM31" s="284" t="s">
        <v>241</v>
      </c>
      <c r="AN31" s="284"/>
      <c r="AO31" s="284"/>
      <c r="AP31" s="284"/>
      <c r="AQ31" s="284"/>
    </row>
    <row r="32" spans="21:43" ht="15" customHeight="1">
      <c r="U32" s="263"/>
      <c r="V32" s="236" t="s">
        <v>47</v>
      </c>
      <c r="W32" s="229" t="s">
        <v>48</v>
      </c>
      <c r="X32" s="236" t="s">
        <v>47</v>
      </c>
      <c r="Y32" s="229" t="s">
        <v>48</v>
      </c>
      <c r="Z32" s="228"/>
      <c r="AE32" s="43" t="s">
        <v>96</v>
      </c>
      <c r="AF32" s="28">
        <v>18.4</v>
      </c>
      <c r="AG32" s="28">
        <v>2.1</v>
      </c>
      <c r="AH32" s="28">
        <f>2*1.2*2.1+0.7*2.1+2*1</f>
        <v>8.51</v>
      </c>
      <c r="AI32" s="28">
        <f>AF32*AG32-AH32</f>
        <v>30.130000000000003</v>
      </c>
      <c r="AJ32" s="24"/>
      <c r="AM32" s="321" t="s">
        <v>0</v>
      </c>
      <c r="AN32" s="321"/>
      <c r="AO32" s="321"/>
      <c r="AP32" s="321"/>
      <c r="AQ32" s="164">
        <f>ROUND(SUM(AQ28:AQ30),2)</f>
        <v>20.43</v>
      </c>
    </row>
    <row r="33" spans="21:36" ht="15" customHeight="1">
      <c r="U33" s="263"/>
      <c r="V33" s="165">
        <f>ROUND(SUM(AB25:AB27),2)</f>
        <v>4.9</v>
      </c>
      <c r="W33" s="164">
        <f>ROUND(SUM(AC25:AC27),2)</f>
        <v>2.2</v>
      </c>
      <c r="X33" s="164">
        <f>ROUND(SUM(AB28:AB29),2)</f>
        <v>1.4</v>
      </c>
      <c r="Y33" s="164">
        <f>ROUND(SUM(AC28:AC29),2)</f>
        <v>5.2</v>
      </c>
      <c r="Z33" s="228"/>
      <c r="AA33" s="159"/>
      <c r="AE33" s="43" t="s">
        <v>513</v>
      </c>
      <c r="AF33" s="28">
        <v>6.1</v>
      </c>
      <c r="AG33" s="28">
        <v>2.1</v>
      </c>
      <c r="AH33" s="28">
        <f>0.7*2.1+0.8*0.4</f>
        <v>1.79</v>
      </c>
      <c r="AI33" s="28">
        <f>AF33*AG33-AH33</f>
        <v>11.02</v>
      </c>
      <c r="AJ33" s="24"/>
    </row>
    <row r="34" spans="3:36" ht="15" customHeight="1">
      <c r="C34" s="360" t="s">
        <v>175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O34" s="307" t="s">
        <v>250</v>
      </c>
      <c r="P34" s="307"/>
      <c r="Q34" s="307"/>
      <c r="R34" s="307"/>
      <c r="AE34" s="341" t="s">
        <v>68</v>
      </c>
      <c r="AF34" s="341"/>
      <c r="AG34" s="341"/>
      <c r="AH34" s="341"/>
      <c r="AI34" s="341"/>
      <c r="AJ34" s="24"/>
    </row>
    <row r="35" spans="3:43" ht="15" customHeight="1">
      <c r="C35" s="289" t="s">
        <v>477</v>
      </c>
      <c r="D35" s="289"/>
      <c r="E35" s="289"/>
      <c r="F35" s="289"/>
      <c r="G35" s="289" t="s">
        <v>129</v>
      </c>
      <c r="H35" s="289"/>
      <c r="I35" s="289"/>
      <c r="J35" s="289"/>
      <c r="K35" s="289"/>
      <c r="L35" s="289"/>
      <c r="M35" s="289"/>
      <c r="O35" s="145"/>
      <c r="P35" s="185"/>
      <c r="Q35" s="185"/>
      <c r="R35" s="185"/>
      <c r="AE35" s="342" t="s">
        <v>0</v>
      </c>
      <c r="AF35" s="342"/>
      <c r="AG35" s="342"/>
      <c r="AH35" s="342"/>
      <c r="AI35" s="161">
        <f>ROUND(SUM(AI32:AI33),2)</f>
        <v>41.15</v>
      </c>
      <c r="AJ35" s="24"/>
      <c r="AM35" s="333" t="s">
        <v>502</v>
      </c>
      <c r="AN35" s="333"/>
      <c r="AO35" s="333"/>
      <c r="AP35" s="333"/>
      <c r="AQ35" s="333"/>
    </row>
    <row r="36" spans="3:43" ht="15" customHeight="1">
      <c r="C36" s="189" t="s">
        <v>249</v>
      </c>
      <c r="D36" s="189" t="s">
        <v>59</v>
      </c>
      <c r="E36" s="189" t="s">
        <v>58</v>
      </c>
      <c r="F36" s="189" t="s">
        <v>14</v>
      </c>
      <c r="G36" s="189" t="s">
        <v>462</v>
      </c>
      <c r="H36" s="189" t="s">
        <v>137</v>
      </c>
      <c r="I36" s="189" t="s">
        <v>136</v>
      </c>
      <c r="J36" s="189" t="s">
        <v>134</v>
      </c>
      <c r="K36" s="189" t="s">
        <v>135</v>
      </c>
      <c r="L36" s="189" t="s">
        <v>460</v>
      </c>
      <c r="M36" s="189" t="s">
        <v>132</v>
      </c>
      <c r="O36" s="186"/>
      <c r="P36" s="285" t="s">
        <v>251</v>
      </c>
      <c r="Q36" s="285"/>
      <c r="R36" s="285"/>
      <c r="AE36" s="27"/>
      <c r="AF36" s="38"/>
      <c r="AG36" s="39"/>
      <c r="AH36" s="39"/>
      <c r="AI36" s="38"/>
      <c r="AJ36" s="40"/>
      <c r="AM36" s="241" t="s">
        <v>117</v>
      </c>
      <c r="AN36" s="241" t="s">
        <v>212</v>
      </c>
      <c r="AO36" s="241" t="s">
        <v>57</v>
      </c>
      <c r="AP36" s="241" t="s">
        <v>59</v>
      </c>
      <c r="AQ36" s="241" t="s">
        <v>4</v>
      </c>
    </row>
    <row r="37" spans="3:43" ht="15" customHeight="1">
      <c r="C37" s="190" t="s">
        <v>152</v>
      </c>
      <c r="D37" s="191" t="s">
        <v>151</v>
      </c>
      <c r="E37" s="191" t="s">
        <v>151</v>
      </c>
      <c r="F37" s="191" t="s">
        <v>151</v>
      </c>
      <c r="G37" s="191" t="s">
        <v>123</v>
      </c>
      <c r="H37" s="191" t="s">
        <v>124</v>
      </c>
      <c r="I37" s="191" t="s">
        <v>123</v>
      </c>
      <c r="J37" s="191" t="s">
        <v>123</v>
      </c>
      <c r="K37" s="191" t="s">
        <v>123</v>
      </c>
      <c r="L37" s="191" t="s">
        <v>131</v>
      </c>
      <c r="M37" s="191" t="s">
        <v>130</v>
      </c>
      <c r="O37" s="186" t="s">
        <v>163</v>
      </c>
      <c r="P37" s="285" t="s">
        <v>466</v>
      </c>
      <c r="Q37" s="285"/>
      <c r="R37" s="285"/>
      <c r="U37" s="269" t="s">
        <v>505</v>
      </c>
      <c r="V37" s="269"/>
      <c r="W37" s="269"/>
      <c r="X37" s="269"/>
      <c r="Y37" s="269"/>
      <c r="Z37" s="269"/>
      <c r="AM37" s="105" t="s">
        <v>96</v>
      </c>
      <c r="AN37" s="109">
        <v>0.1</v>
      </c>
      <c r="AO37" s="105">
        <v>8.35</v>
      </c>
      <c r="AP37" s="105">
        <v>4</v>
      </c>
      <c r="AQ37" s="240">
        <f>AO37*SQRT(((AP37*AN37)^2)+(AP37^2))</f>
        <v>33.56658457454377</v>
      </c>
    </row>
    <row r="38" spans="3:43" ht="15" customHeight="1">
      <c r="C38" s="208" t="s">
        <v>174</v>
      </c>
      <c r="D38" s="209">
        <v>0.15</v>
      </c>
      <c r="E38" s="209">
        <v>0.3</v>
      </c>
      <c r="F38" s="210">
        <v>8.65</v>
      </c>
      <c r="G38" s="209">
        <f>(D38+0.2)*(E38+0.05-0.08)*F38</f>
        <v>0.817425</v>
      </c>
      <c r="H38" s="209">
        <f>(D38+0.2)*F38</f>
        <v>3.0275</v>
      </c>
      <c r="I38" s="209">
        <f>H38*0.05</f>
        <v>0.151375</v>
      </c>
      <c r="J38" s="209">
        <f>(D38*E38*F38)+I38</f>
        <v>0.540625</v>
      </c>
      <c r="K38" s="209">
        <f aca="true" t="shared" si="9" ref="K38:K44">G38-J38</f>
        <v>0.27679999999999993</v>
      </c>
      <c r="L38" s="209">
        <f>(D38+E38*2)*F38</f>
        <v>6.487500000000001</v>
      </c>
      <c r="M38" s="209">
        <f>F38*0.2*0.3</f>
        <v>0.519</v>
      </c>
      <c r="O38" s="186" t="s">
        <v>249</v>
      </c>
      <c r="P38" s="285" t="s">
        <v>464</v>
      </c>
      <c r="Q38" s="285"/>
      <c r="R38" s="285"/>
      <c r="AE38" s="183"/>
      <c r="AF38" s="183"/>
      <c r="AG38" s="183"/>
      <c r="AH38" s="183"/>
      <c r="AI38" s="183"/>
      <c r="AJ38" s="183"/>
      <c r="AM38" s="338" t="s">
        <v>214</v>
      </c>
      <c r="AN38" s="338"/>
      <c r="AO38" s="338"/>
      <c r="AP38" s="338"/>
      <c r="AQ38" s="338"/>
    </row>
    <row r="39" spans="3:43" ht="15" customHeight="1">
      <c r="C39" s="208" t="s">
        <v>173</v>
      </c>
      <c r="D39" s="209">
        <v>0.15</v>
      </c>
      <c r="E39" s="209">
        <v>0.3</v>
      </c>
      <c r="F39" s="210">
        <v>1.5</v>
      </c>
      <c r="G39" s="209">
        <f aca="true" t="shared" si="10" ref="G39:G44">(D39+0.2)*(E39+0.05-0.08)*F39</f>
        <v>0.14175</v>
      </c>
      <c r="H39" s="209">
        <f aca="true" t="shared" si="11" ref="H39:H44">(D39+0.2)*F39</f>
        <v>0.5249999999999999</v>
      </c>
      <c r="I39" s="209">
        <f aca="true" t="shared" si="12" ref="I39:I44">H39*0.05</f>
        <v>0.026249999999999996</v>
      </c>
      <c r="J39" s="209">
        <f aca="true" t="shared" si="13" ref="J39:J44">(D39*E39*F39)+I39</f>
        <v>0.09375</v>
      </c>
      <c r="K39" s="209">
        <f t="shared" si="9"/>
        <v>0.04799999999999999</v>
      </c>
      <c r="L39" s="209">
        <f aca="true" t="shared" si="14" ref="L39:L44">(D39+E39*2)*F39</f>
        <v>1.125</v>
      </c>
      <c r="M39" s="209">
        <f aca="true" t="shared" si="15" ref="M39:M44">F39*0.2*0.3</f>
        <v>0.09000000000000001</v>
      </c>
      <c r="O39" s="187"/>
      <c r="P39" s="187"/>
      <c r="Q39" s="187"/>
      <c r="R39" s="187"/>
      <c r="U39" s="283" t="s">
        <v>45</v>
      </c>
      <c r="V39" s="283"/>
      <c r="W39" s="283"/>
      <c r="X39" s="283"/>
      <c r="Y39" s="283"/>
      <c r="Z39" s="283"/>
      <c r="AE39" s="269" t="s">
        <v>495</v>
      </c>
      <c r="AF39" s="269"/>
      <c r="AG39" s="269"/>
      <c r="AH39" s="269"/>
      <c r="AI39" s="269"/>
      <c r="AJ39" s="269"/>
      <c r="AK39" s="269"/>
      <c r="AM39" s="332" t="s">
        <v>0</v>
      </c>
      <c r="AN39" s="332"/>
      <c r="AO39" s="332"/>
      <c r="AP39" s="332"/>
      <c r="AQ39" s="166">
        <f>ROUND(SUM(AQ37:AQ37),2)</f>
        <v>33.57</v>
      </c>
    </row>
    <row r="40" spans="3:37" ht="15" customHeight="1">
      <c r="C40" s="208" t="s">
        <v>172</v>
      </c>
      <c r="D40" s="209">
        <v>0.15</v>
      </c>
      <c r="E40" s="209">
        <v>0.3</v>
      </c>
      <c r="F40" s="210">
        <v>8.65</v>
      </c>
      <c r="G40" s="209">
        <f t="shared" si="10"/>
        <v>0.817425</v>
      </c>
      <c r="H40" s="209">
        <f t="shared" si="11"/>
        <v>3.0275</v>
      </c>
      <c r="I40" s="209">
        <f t="shared" si="12"/>
        <v>0.151375</v>
      </c>
      <c r="J40" s="209">
        <f t="shared" si="13"/>
        <v>0.540625</v>
      </c>
      <c r="K40" s="209">
        <f t="shared" si="9"/>
        <v>0.27679999999999993</v>
      </c>
      <c r="L40" s="209">
        <f t="shared" si="14"/>
        <v>6.487500000000001</v>
      </c>
      <c r="M40" s="209">
        <f t="shared" si="15"/>
        <v>0.519</v>
      </c>
      <c r="O40" s="186"/>
      <c r="P40" s="285" t="s">
        <v>252</v>
      </c>
      <c r="Q40" s="285"/>
      <c r="R40" s="285"/>
      <c r="U40" s="163" t="s">
        <v>2</v>
      </c>
      <c r="V40" s="163" t="s">
        <v>59</v>
      </c>
      <c r="W40" s="163" t="s">
        <v>58</v>
      </c>
      <c r="X40" s="163" t="s">
        <v>12</v>
      </c>
      <c r="Y40" s="163" t="s">
        <v>64</v>
      </c>
      <c r="Z40" s="163" t="s">
        <v>32</v>
      </c>
      <c r="AE40" s="234"/>
      <c r="AF40" s="234"/>
      <c r="AG40" s="234"/>
      <c r="AH40" s="234"/>
      <c r="AI40" s="234"/>
      <c r="AJ40" s="234"/>
      <c r="AK40" s="234"/>
    </row>
    <row r="41" spans="3:37" ht="15" customHeight="1">
      <c r="C41" s="208" t="s">
        <v>171</v>
      </c>
      <c r="D41" s="209">
        <v>0.15</v>
      </c>
      <c r="E41" s="209">
        <v>0.3</v>
      </c>
      <c r="F41" s="210">
        <v>4.3</v>
      </c>
      <c r="G41" s="209">
        <f t="shared" si="10"/>
        <v>0.40634999999999993</v>
      </c>
      <c r="H41" s="209">
        <f t="shared" si="11"/>
        <v>1.505</v>
      </c>
      <c r="I41" s="209">
        <f t="shared" si="12"/>
        <v>0.07525</v>
      </c>
      <c r="J41" s="209">
        <f t="shared" si="13"/>
        <v>0.26875</v>
      </c>
      <c r="K41" s="209">
        <f t="shared" si="9"/>
        <v>0.13759999999999994</v>
      </c>
      <c r="L41" s="209">
        <f t="shared" si="14"/>
        <v>3.2249999999999996</v>
      </c>
      <c r="M41" s="209">
        <f t="shared" si="15"/>
        <v>0.258</v>
      </c>
      <c r="O41" s="186" t="s">
        <v>163</v>
      </c>
      <c r="P41" s="285" t="s">
        <v>467</v>
      </c>
      <c r="Q41" s="285"/>
      <c r="R41" s="285"/>
      <c r="U41" s="230" t="s">
        <v>108</v>
      </c>
      <c r="V41" s="230">
        <v>1.6</v>
      </c>
      <c r="W41" s="230">
        <v>2.1</v>
      </c>
      <c r="X41" s="230" t="s">
        <v>111</v>
      </c>
      <c r="Y41" s="230">
        <v>1</v>
      </c>
      <c r="Z41" s="164">
        <f>V41*W41*Y41</f>
        <v>3.3600000000000003</v>
      </c>
      <c r="AE41" s="344" t="s">
        <v>105</v>
      </c>
      <c r="AF41" s="344"/>
      <c r="AG41" s="53"/>
      <c r="AH41" s="344" t="s">
        <v>425</v>
      </c>
      <c r="AI41" s="344"/>
      <c r="AJ41" s="344"/>
      <c r="AK41" s="344"/>
    </row>
    <row r="42" spans="3:44" ht="15" customHeight="1">
      <c r="C42" s="208" t="s">
        <v>170</v>
      </c>
      <c r="D42" s="209">
        <v>0.15</v>
      </c>
      <c r="E42" s="209">
        <v>0.3</v>
      </c>
      <c r="F42" s="210">
        <v>4.3</v>
      </c>
      <c r="G42" s="209">
        <f t="shared" si="10"/>
        <v>0.40634999999999993</v>
      </c>
      <c r="H42" s="209">
        <f t="shared" si="11"/>
        <v>1.505</v>
      </c>
      <c r="I42" s="209">
        <f t="shared" si="12"/>
        <v>0.07525</v>
      </c>
      <c r="J42" s="209">
        <f t="shared" si="13"/>
        <v>0.26875</v>
      </c>
      <c r="K42" s="209">
        <f t="shared" si="9"/>
        <v>0.13759999999999994</v>
      </c>
      <c r="L42" s="209">
        <f t="shared" si="14"/>
        <v>3.2249999999999996</v>
      </c>
      <c r="M42" s="209">
        <f t="shared" si="15"/>
        <v>0.258</v>
      </c>
      <c r="O42" s="186" t="s">
        <v>249</v>
      </c>
      <c r="P42" s="285" t="s">
        <v>465</v>
      </c>
      <c r="Q42" s="285"/>
      <c r="R42" s="285"/>
      <c r="U42" s="230" t="s">
        <v>37</v>
      </c>
      <c r="V42" s="230">
        <v>1.2</v>
      </c>
      <c r="W42" s="230">
        <v>2.1</v>
      </c>
      <c r="X42" s="230" t="s">
        <v>27</v>
      </c>
      <c r="Y42" s="164">
        <v>2</v>
      </c>
      <c r="Z42" s="230">
        <f>V42*W42*Y42</f>
        <v>5.04</v>
      </c>
      <c r="AE42" s="229" t="s">
        <v>7</v>
      </c>
      <c r="AF42" s="229" t="s">
        <v>4</v>
      </c>
      <c r="AG42" s="90"/>
      <c r="AH42" s="328" t="s">
        <v>7</v>
      </c>
      <c r="AI42" s="328" t="s">
        <v>8</v>
      </c>
      <c r="AJ42" s="328" t="s">
        <v>63</v>
      </c>
      <c r="AK42" s="328" t="s">
        <v>54</v>
      </c>
      <c r="AR42" s="159"/>
    </row>
    <row r="43" spans="3:44" ht="15" customHeight="1">
      <c r="C43" s="208" t="s">
        <v>169</v>
      </c>
      <c r="D43" s="209">
        <v>0.15</v>
      </c>
      <c r="E43" s="209">
        <v>0.3</v>
      </c>
      <c r="F43" s="210">
        <v>2.15</v>
      </c>
      <c r="G43" s="209">
        <f t="shared" si="10"/>
        <v>0.20317499999999997</v>
      </c>
      <c r="H43" s="209">
        <f t="shared" si="11"/>
        <v>0.7525</v>
      </c>
      <c r="I43" s="209">
        <f t="shared" si="12"/>
        <v>0.037625</v>
      </c>
      <c r="J43" s="209">
        <f t="shared" si="13"/>
        <v>0.134375</v>
      </c>
      <c r="K43" s="209">
        <f t="shared" si="9"/>
        <v>0.06879999999999997</v>
      </c>
      <c r="L43" s="209">
        <f t="shared" si="14"/>
        <v>1.6124999999999998</v>
      </c>
      <c r="M43" s="209">
        <f t="shared" si="15"/>
        <v>0.129</v>
      </c>
      <c r="O43" s="187"/>
      <c r="P43" s="187"/>
      <c r="Q43" s="187"/>
      <c r="R43" s="187"/>
      <c r="U43" s="230" t="s">
        <v>106</v>
      </c>
      <c r="V43" s="230">
        <v>0.7</v>
      </c>
      <c r="W43" s="230">
        <v>2.1</v>
      </c>
      <c r="X43" s="230" t="s">
        <v>27</v>
      </c>
      <c r="Y43" s="164">
        <v>1</v>
      </c>
      <c r="Z43" s="230">
        <f>V43*W43*Y43</f>
        <v>1.47</v>
      </c>
      <c r="AE43" s="28" t="s">
        <v>512</v>
      </c>
      <c r="AF43" s="55">
        <v>12</v>
      </c>
      <c r="AG43" s="91"/>
      <c r="AH43" s="328"/>
      <c r="AI43" s="328"/>
      <c r="AJ43" s="328"/>
      <c r="AK43" s="328"/>
      <c r="AM43" s="269" t="s">
        <v>426</v>
      </c>
      <c r="AN43" s="269"/>
      <c r="AO43" s="269"/>
      <c r="AP43" s="269"/>
      <c r="AQ43" s="269"/>
      <c r="AR43" s="33"/>
    </row>
    <row r="44" spans="3:43" ht="15" customHeight="1">
      <c r="C44" s="208" t="s">
        <v>168</v>
      </c>
      <c r="D44" s="209">
        <v>0.15</v>
      </c>
      <c r="E44" s="209">
        <v>0.3</v>
      </c>
      <c r="F44" s="210">
        <v>4.3</v>
      </c>
      <c r="G44" s="209">
        <f t="shared" si="10"/>
        <v>0.40634999999999993</v>
      </c>
      <c r="H44" s="209">
        <f t="shared" si="11"/>
        <v>1.505</v>
      </c>
      <c r="I44" s="209">
        <f t="shared" si="12"/>
        <v>0.07525</v>
      </c>
      <c r="J44" s="209">
        <f t="shared" si="13"/>
        <v>0.26875</v>
      </c>
      <c r="K44" s="209">
        <f t="shared" si="9"/>
        <v>0.13759999999999994</v>
      </c>
      <c r="L44" s="209">
        <f t="shared" si="14"/>
        <v>3.2249999999999996</v>
      </c>
      <c r="M44" s="209">
        <f t="shared" si="15"/>
        <v>0.258</v>
      </c>
      <c r="O44" s="186"/>
      <c r="P44" s="285" t="s">
        <v>253</v>
      </c>
      <c r="Q44" s="285"/>
      <c r="R44" s="285"/>
      <c r="U44" s="284" t="s">
        <v>70</v>
      </c>
      <c r="V44" s="284"/>
      <c r="W44" s="284"/>
      <c r="X44" s="284"/>
      <c r="Y44" s="284"/>
      <c r="Z44" s="284"/>
      <c r="AE44" s="28" t="s">
        <v>96</v>
      </c>
      <c r="AF44" s="55">
        <v>18.1</v>
      </c>
      <c r="AG44" s="91"/>
      <c r="AH44" s="28" t="s">
        <v>512</v>
      </c>
      <c r="AI44" s="55">
        <v>13.99</v>
      </c>
      <c r="AJ44" s="55">
        <f>1.6+1.2</f>
        <v>2.8</v>
      </c>
      <c r="AK44" s="28">
        <f>AI44-AJ44</f>
        <v>11.190000000000001</v>
      </c>
      <c r="AM44" s="32"/>
      <c r="AN44" s="32"/>
      <c r="AO44" s="33"/>
      <c r="AP44" s="33"/>
      <c r="AQ44" s="33"/>
    </row>
    <row r="45" spans="3:44" ht="15" customHeight="1">
      <c r="C45" s="280" t="s">
        <v>138</v>
      </c>
      <c r="D45" s="280"/>
      <c r="E45" s="280"/>
      <c r="F45" s="280"/>
      <c r="G45" s="206">
        <f aca="true" t="shared" si="16" ref="G45:M45">ROUND(SUM(G38:G44),2)</f>
        <v>3.2</v>
      </c>
      <c r="H45" s="207">
        <f t="shared" si="16"/>
        <v>11.85</v>
      </c>
      <c r="I45" s="207">
        <f t="shared" si="16"/>
        <v>0.59</v>
      </c>
      <c r="J45" s="207">
        <f t="shared" si="16"/>
        <v>2.12</v>
      </c>
      <c r="K45" s="207">
        <f t="shared" si="16"/>
        <v>1.08</v>
      </c>
      <c r="L45" s="207">
        <f t="shared" si="16"/>
        <v>25.39</v>
      </c>
      <c r="M45" s="207">
        <f t="shared" si="16"/>
        <v>2.03</v>
      </c>
      <c r="O45" s="186" t="s">
        <v>163</v>
      </c>
      <c r="P45" s="285" t="s">
        <v>254</v>
      </c>
      <c r="Q45" s="285"/>
      <c r="R45" s="285"/>
      <c r="U45" s="20"/>
      <c r="V45" s="20"/>
      <c r="W45" s="20"/>
      <c r="X45" s="20"/>
      <c r="Y45" s="59"/>
      <c r="Z45" s="15"/>
      <c r="AE45" s="231" t="s">
        <v>0</v>
      </c>
      <c r="AF45" s="156">
        <f>ROUND(SUM(AF43:AF44),2)</f>
        <v>30.1</v>
      </c>
      <c r="AG45" s="91"/>
      <c r="AH45" s="28" t="s">
        <v>96</v>
      </c>
      <c r="AI45" s="55">
        <v>18.4</v>
      </c>
      <c r="AJ45" s="55">
        <f>2*1.2+0.7</f>
        <v>3.0999999999999996</v>
      </c>
      <c r="AK45" s="28">
        <f>AI45-AJ45</f>
        <v>15.299999999999999</v>
      </c>
      <c r="AM45" s="277" t="s">
        <v>503</v>
      </c>
      <c r="AN45" s="277"/>
      <c r="AP45" s="277" t="s">
        <v>533</v>
      </c>
      <c r="AQ45" s="277"/>
      <c r="AR45" s="277"/>
    </row>
    <row r="46" spans="15:44" ht="15" customHeight="1">
      <c r="O46" s="186" t="s">
        <v>249</v>
      </c>
      <c r="P46" s="285" t="s">
        <v>254</v>
      </c>
      <c r="Q46" s="285"/>
      <c r="R46" s="285"/>
      <c r="U46" s="20"/>
      <c r="V46" s="20"/>
      <c r="W46" s="20"/>
      <c r="X46" s="20"/>
      <c r="Y46" s="59"/>
      <c r="Z46" s="15"/>
      <c r="AE46" s="50"/>
      <c r="AF46" s="35"/>
      <c r="AG46" s="91"/>
      <c r="AH46" s="345" t="s">
        <v>69</v>
      </c>
      <c r="AI46" s="345"/>
      <c r="AJ46" s="345"/>
      <c r="AK46" s="345"/>
      <c r="AM46" s="155" t="s">
        <v>117</v>
      </c>
      <c r="AN46" s="155" t="s">
        <v>429</v>
      </c>
      <c r="AP46" s="306" t="s">
        <v>7</v>
      </c>
      <c r="AQ46" s="306"/>
      <c r="AR46" s="155" t="s">
        <v>535</v>
      </c>
    </row>
    <row r="47" spans="3:45" ht="15" customHeight="1">
      <c r="C47" s="296" t="s">
        <v>0</v>
      </c>
      <c r="D47" s="297"/>
      <c r="E47" s="297"/>
      <c r="F47" s="297"/>
      <c r="G47" s="298"/>
      <c r="H47" s="192" t="s">
        <v>137</v>
      </c>
      <c r="I47" s="192" t="s">
        <v>136</v>
      </c>
      <c r="J47" s="192" t="s">
        <v>134</v>
      </c>
      <c r="K47" s="192" t="s">
        <v>135</v>
      </c>
      <c r="L47" s="192" t="s">
        <v>133</v>
      </c>
      <c r="M47" s="192" t="s">
        <v>132</v>
      </c>
      <c r="O47" s="187"/>
      <c r="P47" s="187"/>
      <c r="Q47" s="187"/>
      <c r="R47" s="187"/>
      <c r="U47" s="283" t="s">
        <v>240</v>
      </c>
      <c r="V47" s="283"/>
      <c r="W47" s="283"/>
      <c r="X47" s="283"/>
      <c r="Y47" s="283"/>
      <c r="Z47" s="283"/>
      <c r="AE47" s="50"/>
      <c r="AF47" s="35"/>
      <c r="AG47" s="91"/>
      <c r="AH47" s="321" t="s">
        <v>0</v>
      </c>
      <c r="AI47" s="321"/>
      <c r="AJ47" s="321"/>
      <c r="AK47" s="156">
        <f>SUM(AK44:AK45)</f>
        <v>26.490000000000002</v>
      </c>
      <c r="AM47" s="144" t="s">
        <v>96</v>
      </c>
      <c r="AN47" s="156">
        <v>25.9</v>
      </c>
      <c r="AO47" s="182"/>
      <c r="AP47" s="281" t="s">
        <v>96</v>
      </c>
      <c r="AQ47" s="281"/>
      <c r="AR47" s="156">
        <v>1</v>
      </c>
      <c r="AS47" s="182"/>
    </row>
    <row r="48" spans="3:37" ht="15" customHeight="1">
      <c r="C48" s="299"/>
      <c r="D48" s="300"/>
      <c r="E48" s="300"/>
      <c r="F48" s="300"/>
      <c r="G48" s="301"/>
      <c r="H48" s="194" t="s">
        <v>124</v>
      </c>
      <c r="I48" s="194" t="s">
        <v>123</v>
      </c>
      <c r="J48" s="194" t="s">
        <v>123</v>
      </c>
      <c r="K48" s="194" t="s">
        <v>123</v>
      </c>
      <c r="L48" s="194" t="s">
        <v>131</v>
      </c>
      <c r="M48" s="194" t="s">
        <v>130</v>
      </c>
      <c r="O48" s="186"/>
      <c r="P48" s="285" t="s">
        <v>255</v>
      </c>
      <c r="Q48" s="285"/>
      <c r="R48" s="285"/>
      <c r="U48" s="163" t="s">
        <v>5</v>
      </c>
      <c r="V48" s="163" t="s">
        <v>59</v>
      </c>
      <c r="W48" s="163" t="s">
        <v>58</v>
      </c>
      <c r="X48" s="163" t="s">
        <v>12</v>
      </c>
      <c r="Y48" s="163" t="s">
        <v>64</v>
      </c>
      <c r="Z48" s="163" t="s">
        <v>32</v>
      </c>
      <c r="AE48" s="344" t="s">
        <v>65</v>
      </c>
      <c r="AF48" s="344"/>
      <c r="AG48" s="91"/>
      <c r="AH48" s="24"/>
      <c r="AI48" s="24"/>
      <c r="AJ48" s="24"/>
      <c r="AK48" s="24"/>
    </row>
    <row r="49" spans="3:33" ht="15" customHeight="1">
      <c r="C49" s="302" t="s">
        <v>248</v>
      </c>
      <c r="D49" s="303"/>
      <c r="E49" s="303"/>
      <c r="F49" s="303"/>
      <c r="G49" s="304"/>
      <c r="H49" s="211">
        <f>O31+H45</f>
        <v>19.189999999999998</v>
      </c>
      <c r="I49" s="211">
        <f>P31+I45</f>
        <v>0.96</v>
      </c>
      <c r="J49" s="211">
        <f>Q31+J45</f>
        <v>4.83</v>
      </c>
      <c r="K49" s="211">
        <f>R31+K45</f>
        <v>9.75</v>
      </c>
      <c r="L49" s="211">
        <f>L45</f>
        <v>25.39</v>
      </c>
      <c r="M49" s="211">
        <f>M45</f>
        <v>2.03</v>
      </c>
      <c r="O49" s="186" t="s">
        <v>163</v>
      </c>
      <c r="P49" s="285" t="s">
        <v>468</v>
      </c>
      <c r="Q49" s="285"/>
      <c r="R49" s="285"/>
      <c r="U49" s="230" t="s">
        <v>112</v>
      </c>
      <c r="V49" s="230">
        <v>2</v>
      </c>
      <c r="W49" s="230">
        <v>1</v>
      </c>
      <c r="X49" s="230" t="s">
        <v>430</v>
      </c>
      <c r="Y49" s="230">
        <v>2</v>
      </c>
      <c r="Z49" s="164">
        <f>V49*W49*Y49</f>
        <v>4</v>
      </c>
      <c r="AA49" s="182"/>
      <c r="AB49" s="182"/>
      <c r="AC49" s="182"/>
      <c r="AE49" s="229" t="s">
        <v>7</v>
      </c>
      <c r="AF49" s="229" t="s">
        <v>4</v>
      </c>
      <c r="AG49" s="91"/>
    </row>
    <row r="50" spans="15:44" ht="15" customHeight="1">
      <c r="O50" s="186" t="s">
        <v>249</v>
      </c>
      <c r="P50" s="285" t="s">
        <v>461</v>
      </c>
      <c r="Q50" s="285"/>
      <c r="R50" s="285"/>
      <c r="U50" s="230" t="s">
        <v>114</v>
      </c>
      <c r="V50" s="230">
        <v>0.8</v>
      </c>
      <c r="W50" s="230">
        <v>0.8</v>
      </c>
      <c r="X50" s="230" t="s">
        <v>239</v>
      </c>
      <c r="Y50" s="230">
        <v>1</v>
      </c>
      <c r="Z50" s="164">
        <f>V50*W50*Y50</f>
        <v>0.6400000000000001</v>
      </c>
      <c r="AA50" s="182"/>
      <c r="AB50" s="182"/>
      <c r="AC50" s="182"/>
      <c r="AE50" s="28" t="s">
        <v>513</v>
      </c>
      <c r="AF50" s="55">
        <v>2.22</v>
      </c>
      <c r="AG50" s="90"/>
      <c r="AH50" s="278" t="s">
        <v>107</v>
      </c>
      <c r="AI50" s="278"/>
      <c r="AJ50" s="278"/>
      <c r="AK50" s="278"/>
      <c r="AM50" s="277" t="s">
        <v>534</v>
      </c>
      <c r="AN50" s="277"/>
      <c r="AP50" s="277" t="s">
        <v>536</v>
      </c>
      <c r="AQ50" s="277"/>
      <c r="AR50" s="277"/>
    </row>
    <row r="51" spans="15:44" ht="15" customHeight="1">
      <c r="O51" s="188"/>
      <c r="P51" s="188"/>
      <c r="Q51" s="188"/>
      <c r="R51" s="188"/>
      <c r="U51" s="284" t="s">
        <v>70</v>
      </c>
      <c r="V51" s="284"/>
      <c r="W51" s="284"/>
      <c r="X51" s="284"/>
      <c r="Y51" s="284"/>
      <c r="Z51" s="284"/>
      <c r="AA51" s="182"/>
      <c r="AB51" s="182"/>
      <c r="AC51" s="182"/>
      <c r="AE51" s="231" t="s">
        <v>0</v>
      </c>
      <c r="AF51" s="156">
        <f>ROUND(SUM(AF50:AF50),2)</f>
        <v>2.22</v>
      </c>
      <c r="AG51" s="91"/>
      <c r="AH51" s="163" t="s">
        <v>2</v>
      </c>
      <c r="AI51" s="163" t="s">
        <v>3</v>
      </c>
      <c r="AJ51" s="163" t="s">
        <v>6</v>
      </c>
      <c r="AK51" s="163" t="s">
        <v>54</v>
      </c>
      <c r="AM51" s="155" t="s">
        <v>7</v>
      </c>
      <c r="AN51" s="155" t="s">
        <v>535</v>
      </c>
      <c r="AP51" s="306" t="s">
        <v>117</v>
      </c>
      <c r="AQ51" s="306"/>
      <c r="AR51" s="155" t="s">
        <v>535</v>
      </c>
    </row>
    <row r="52" spans="3:44" ht="15" customHeight="1">
      <c r="C52" s="355" t="s">
        <v>475</v>
      </c>
      <c r="D52" s="355"/>
      <c r="E52" s="355"/>
      <c r="F52" s="355"/>
      <c r="G52" s="355"/>
      <c r="H52" s="355"/>
      <c r="I52" s="355"/>
      <c r="J52" s="355"/>
      <c r="K52" s="355"/>
      <c r="O52" s="186"/>
      <c r="P52" s="285" t="s">
        <v>256</v>
      </c>
      <c r="Q52" s="285"/>
      <c r="R52" s="285"/>
      <c r="U52" s="220"/>
      <c r="V52" s="182"/>
      <c r="W52" s="182"/>
      <c r="X52" s="182"/>
      <c r="Y52" s="182"/>
      <c r="Z52" s="182"/>
      <c r="AA52" s="182"/>
      <c r="AB52" s="182"/>
      <c r="AC52" s="182"/>
      <c r="AE52" s="50"/>
      <c r="AF52" s="35"/>
      <c r="AG52" s="91"/>
      <c r="AH52" s="230" t="s">
        <v>108</v>
      </c>
      <c r="AI52" s="28">
        <v>1.6</v>
      </c>
      <c r="AJ52" s="28">
        <v>1</v>
      </c>
      <c r="AK52" s="28">
        <f>AI52*AJ52</f>
        <v>1.6</v>
      </c>
      <c r="AM52" s="144" t="s">
        <v>96</v>
      </c>
      <c r="AN52" s="156">
        <v>1</v>
      </c>
      <c r="AP52" s="281" t="s">
        <v>96</v>
      </c>
      <c r="AQ52" s="281"/>
      <c r="AR52" s="156">
        <v>1</v>
      </c>
    </row>
    <row r="53" spans="3:39" ht="15" customHeight="1">
      <c r="C53" s="295" t="s">
        <v>128</v>
      </c>
      <c r="D53" s="295"/>
      <c r="E53" s="295"/>
      <c r="F53" s="295" t="s">
        <v>129</v>
      </c>
      <c r="G53" s="295"/>
      <c r="H53" s="295"/>
      <c r="I53" s="295"/>
      <c r="J53" s="295"/>
      <c r="K53" s="295"/>
      <c r="O53" s="186" t="s">
        <v>163</v>
      </c>
      <c r="P53" s="285" t="s">
        <v>257</v>
      </c>
      <c r="Q53" s="285"/>
      <c r="R53" s="285"/>
      <c r="U53" s="182"/>
      <c r="V53" s="182"/>
      <c r="W53" s="182"/>
      <c r="X53" s="182"/>
      <c r="Y53" s="182"/>
      <c r="Z53" s="182"/>
      <c r="AA53" s="182"/>
      <c r="AB53" s="182"/>
      <c r="AC53" s="182"/>
      <c r="AG53" s="91"/>
      <c r="AH53" s="230" t="s">
        <v>37</v>
      </c>
      <c r="AI53" s="28">
        <v>1.2</v>
      </c>
      <c r="AJ53" s="28">
        <v>2</v>
      </c>
      <c r="AK53" s="28">
        <f>AI53*AJ53</f>
        <v>2.4</v>
      </c>
      <c r="AM53" s="182"/>
    </row>
    <row r="54" spans="3:39" ht="15" customHeight="1">
      <c r="C54" s="295"/>
      <c r="D54" s="295"/>
      <c r="E54" s="295"/>
      <c r="F54" s="291" t="s">
        <v>246</v>
      </c>
      <c r="G54" s="214" t="s">
        <v>127</v>
      </c>
      <c r="H54" s="195" t="s">
        <v>126</v>
      </c>
      <c r="I54" s="292" t="s">
        <v>125</v>
      </c>
      <c r="J54" s="292"/>
      <c r="K54" s="292"/>
      <c r="O54" s="186" t="s">
        <v>249</v>
      </c>
      <c r="P54" s="285" t="s">
        <v>257</v>
      </c>
      <c r="Q54" s="285"/>
      <c r="R54" s="285"/>
      <c r="U54" s="182"/>
      <c r="V54" s="182"/>
      <c r="W54" s="182"/>
      <c r="X54" s="182"/>
      <c r="Y54" s="182"/>
      <c r="Z54" s="182"/>
      <c r="AA54" s="182"/>
      <c r="AB54" s="182"/>
      <c r="AC54" s="182"/>
      <c r="AE54" s="278" t="s">
        <v>66</v>
      </c>
      <c r="AF54" s="278"/>
      <c r="AG54" s="91"/>
      <c r="AH54" s="230" t="s">
        <v>106</v>
      </c>
      <c r="AI54" s="28">
        <v>0.7</v>
      </c>
      <c r="AJ54" s="28">
        <v>1</v>
      </c>
      <c r="AK54" s="28">
        <f>AI54*AJ54</f>
        <v>0.7</v>
      </c>
      <c r="AM54" s="182"/>
    </row>
    <row r="55" spans="3:39" ht="15" customHeight="1">
      <c r="C55" s="295"/>
      <c r="D55" s="295"/>
      <c r="E55" s="295"/>
      <c r="F55" s="291"/>
      <c r="G55" s="291" t="s">
        <v>476</v>
      </c>
      <c r="H55" s="291" t="s">
        <v>438</v>
      </c>
      <c r="I55" s="291" t="s">
        <v>439</v>
      </c>
      <c r="J55" s="291" t="s">
        <v>440</v>
      </c>
      <c r="K55" s="291" t="s">
        <v>441</v>
      </c>
      <c r="U55" s="269" t="s">
        <v>116</v>
      </c>
      <c r="V55" s="269"/>
      <c r="W55" s="269"/>
      <c r="X55" s="269"/>
      <c r="Y55" s="269"/>
      <c r="Z55" s="182"/>
      <c r="AA55" s="182"/>
      <c r="AB55" s="182"/>
      <c r="AC55" s="182"/>
      <c r="AE55" s="229" t="s">
        <v>7</v>
      </c>
      <c r="AF55" s="229" t="s">
        <v>4</v>
      </c>
      <c r="AG55" s="91"/>
      <c r="AH55" s="347" t="s">
        <v>0</v>
      </c>
      <c r="AI55" s="347"/>
      <c r="AJ55" s="347"/>
      <c r="AK55" s="156">
        <f>SUM(AK52:AK54)</f>
        <v>4.7</v>
      </c>
      <c r="AM55" s="182"/>
    </row>
    <row r="56" spans="3:40" ht="15" customHeight="1">
      <c r="C56" s="295"/>
      <c r="D56" s="295"/>
      <c r="E56" s="295"/>
      <c r="F56" s="291"/>
      <c r="G56" s="291" t="s">
        <v>123</v>
      </c>
      <c r="H56" s="291" t="s">
        <v>122</v>
      </c>
      <c r="I56" s="291" t="s">
        <v>122</v>
      </c>
      <c r="J56" s="291" t="s">
        <v>122</v>
      </c>
      <c r="K56" s="291" t="s">
        <v>122</v>
      </c>
      <c r="U56" s="104"/>
      <c r="V56" s="104"/>
      <c r="W56" s="104"/>
      <c r="X56" s="104"/>
      <c r="Y56" s="104"/>
      <c r="Z56" s="182"/>
      <c r="AA56" s="182"/>
      <c r="AB56" s="182"/>
      <c r="AC56" s="182"/>
      <c r="AE56" s="28" t="s">
        <v>512</v>
      </c>
      <c r="AF56" s="55">
        <v>12</v>
      </c>
      <c r="AG56" s="91"/>
      <c r="AH56" s="23"/>
      <c r="AI56" s="23"/>
      <c r="AJ56" s="23"/>
      <c r="AM56" s="269" t="s">
        <v>532</v>
      </c>
      <c r="AN56" s="269"/>
    </row>
    <row r="57" spans="3:47" ht="15" customHeight="1">
      <c r="C57" s="288" t="s">
        <v>472</v>
      </c>
      <c r="D57" s="288"/>
      <c r="E57" s="288"/>
      <c r="F57" s="288"/>
      <c r="G57" s="288"/>
      <c r="H57" s="288"/>
      <c r="I57" s="288"/>
      <c r="J57" s="288"/>
      <c r="K57" s="288"/>
      <c r="O57"/>
      <c r="U57" s="333" t="s">
        <v>115</v>
      </c>
      <c r="V57" s="333"/>
      <c r="W57" s="333"/>
      <c r="X57" s="333"/>
      <c r="Y57" s="333"/>
      <c r="Z57" s="182"/>
      <c r="AA57" s="182"/>
      <c r="AB57" s="182"/>
      <c r="AC57" s="182"/>
      <c r="AE57" s="28" t="s">
        <v>96</v>
      </c>
      <c r="AF57" s="55">
        <v>18.1</v>
      </c>
      <c r="AG57" s="91"/>
      <c r="AH57" s="159"/>
      <c r="AI57" s="159"/>
      <c r="AJ57" s="159"/>
      <c r="AK57" s="159"/>
      <c r="AM57" s="183"/>
      <c r="AN57" s="183"/>
      <c r="AO57" s="182"/>
      <c r="AP57" s="182"/>
      <c r="AQ57" s="182"/>
      <c r="AR57" s="182"/>
      <c r="AS57" s="182"/>
      <c r="AT57" s="182"/>
      <c r="AU57" s="182"/>
    </row>
    <row r="58" spans="3:47" ht="15" customHeight="1">
      <c r="C58" s="305" t="s">
        <v>121</v>
      </c>
      <c r="D58" s="305"/>
      <c r="E58" s="305"/>
      <c r="F58" s="213">
        <f>2.03+2.27+2.22+1.87+2.03+2.19+2.26</f>
        <v>14.87</v>
      </c>
      <c r="G58" s="213">
        <f>0.24+0.44+0.29+0.17+0.24+0.33+0.31</f>
        <v>2.02</v>
      </c>
      <c r="H58" s="213">
        <f>(1.7+1.7+1.9+1.7+1.7+1.7+1.9)*0.9</f>
        <v>11.069999999999999</v>
      </c>
      <c r="I58" s="213">
        <f>(5.9+6.5+3.4+5.9+8.3+7)*0.9</f>
        <v>33.300000000000004</v>
      </c>
      <c r="J58" s="213">
        <f>12.7*0.9</f>
        <v>11.43</v>
      </c>
      <c r="K58" s="213">
        <f>(5.5+5.5+5.5+4.4+5.5+5.5+5.5)*0.9</f>
        <v>33.66</v>
      </c>
      <c r="N58" s="277" t="s">
        <v>488</v>
      </c>
      <c r="O58" s="277"/>
      <c r="P58" s="277"/>
      <c r="Q58" s="277"/>
      <c r="R58" s="277"/>
      <c r="U58" s="241" t="s">
        <v>117</v>
      </c>
      <c r="V58" s="241" t="s">
        <v>212</v>
      </c>
      <c r="W58" s="241" t="s">
        <v>57</v>
      </c>
      <c r="X58" s="241" t="s">
        <v>59</v>
      </c>
      <c r="Y58" s="241" t="s">
        <v>4</v>
      </c>
      <c r="Z58" s="182"/>
      <c r="AA58" s="182"/>
      <c r="AB58" s="182"/>
      <c r="AC58" s="182"/>
      <c r="AE58" s="28" t="s">
        <v>513</v>
      </c>
      <c r="AF58" s="55">
        <v>2.22</v>
      </c>
      <c r="AG58" s="23"/>
      <c r="AH58" s="159"/>
      <c r="AI58" s="159"/>
      <c r="AJ58" s="23"/>
      <c r="AM58" s="277" t="s">
        <v>504</v>
      </c>
      <c r="AN58" s="277"/>
      <c r="AO58" s="182"/>
      <c r="AP58" s="182"/>
      <c r="AQ58" s="182"/>
      <c r="AR58" s="182"/>
      <c r="AS58" s="182"/>
      <c r="AT58" s="182"/>
      <c r="AU58" s="182"/>
    </row>
    <row r="59" spans="3:47" ht="15" customHeight="1">
      <c r="C59" s="305" t="s">
        <v>120</v>
      </c>
      <c r="D59" s="305"/>
      <c r="E59" s="305"/>
      <c r="F59" s="213">
        <v>25.39</v>
      </c>
      <c r="G59" s="213">
        <v>1.52</v>
      </c>
      <c r="H59" s="213">
        <f>28*0.9</f>
        <v>25.2</v>
      </c>
      <c r="I59" s="213">
        <v>0</v>
      </c>
      <c r="J59" s="213">
        <f>48.7*0.9</f>
        <v>43.830000000000005</v>
      </c>
      <c r="K59" s="213">
        <f>28.1*0.9</f>
        <v>25.290000000000003</v>
      </c>
      <c r="N59" s="362" t="s">
        <v>117</v>
      </c>
      <c r="O59" s="362"/>
      <c r="P59" s="154" t="s">
        <v>486</v>
      </c>
      <c r="Q59" s="154" t="s">
        <v>136</v>
      </c>
      <c r="R59" s="155" t="s">
        <v>0</v>
      </c>
      <c r="U59" s="105" t="s">
        <v>96</v>
      </c>
      <c r="V59" s="109">
        <v>0.1</v>
      </c>
      <c r="W59" s="105">
        <v>8.35</v>
      </c>
      <c r="X59" s="105">
        <v>4</v>
      </c>
      <c r="Y59" s="240">
        <f>W59*SQRT(((X59*V59)^2)+(X59^2))</f>
        <v>33.56658457454377</v>
      </c>
      <c r="Z59" s="182"/>
      <c r="AA59" s="182"/>
      <c r="AB59" s="182"/>
      <c r="AC59" s="182"/>
      <c r="AE59" s="231" t="s">
        <v>0</v>
      </c>
      <c r="AF59" s="156">
        <f>ROUND(SUM(AF56:AF58),2)</f>
        <v>32.32</v>
      </c>
      <c r="AG59" s="23"/>
      <c r="AH59" s="23"/>
      <c r="AI59" s="23"/>
      <c r="AJ59" s="34"/>
      <c r="AM59" s="155" t="s">
        <v>7</v>
      </c>
      <c r="AN59" s="155" t="s">
        <v>4</v>
      </c>
      <c r="AO59" s="182"/>
      <c r="AP59" s="182"/>
      <c r="AQ59" s="183"/>
      <c r="AR59" s="183"/>
      <c r="AS59" s="183"/>
      <c r="AT59" s="182"/>
      <c r="AU59" s="182"/>
    </row>
    <row r="60" spans="3:47" ht="15" customHeight="1">
      <c r="C60" s="279" t="s">
        <v>474</v>
      </c>
      <c r="D60" s="279"/>
      <c r="E60" s="279"/>
      <c r="F60" s="215">
        <f aca="true" t="shared" si="17" ref="F60:K60">ROUND(SUM(F58:F59),2)</f>
        <v>40.26</v>
      </c>
      <c r="G60" s="215">
        <f t="shared" si="17"/>
        <v>3.54</v>
      </c>
      <c r="H60" s="215">
        <f t="shared" si="17"/>
        <v>36.27</v>
      </c>
      <c r="I60" s="215">
        <f t="shared" si="17"/>
        <v>33.3</v>
      </c>
      <c r="J60" s="215">
        <f t="shared" si="17"/>
        <v>55.26</v>
      </c>
      <c r="K60" s="215">
        <f t="shared" si="17"/>
        <v>58.95</v>
      </c>
      <c r="N60" s="281" t="s">
        <v>163</v>
      </c>
      <c r="O60" s="281"/>
      <c r="P60" s="28">
        <f>G58</f>
        <v>2.02</v>
      </c>
      <c r="Q60" s="28">
        <f>P31</f>
        <v>0.37</v>
      </c>
      <c r="R60" s="156">
        <f>P60+Q60</f>
        <v>2.39</v>
      </c>
      <c r="U60" s="338" t="s">
        <v>214</v>
      </c>
      <c r="V60" s="338"/>
      <c r="W60" s="338"/>
      <c r="X60" s="338"/>
      <c r="Y60" s="338"/>
      <c r="Z60" s="182"/>
      <c r="AA60" s="182"/>
      <c r="AB60" s="182"/>
      <c r="AC60" s="182"/>
      <c r="AE60" s="182"/>
      <c r="AF60" s="182"/>
      <c r="AG60" s="23"/>
      <c r="AH60" s="23"/>
      <c r="AI60" s="23"/>
      <c r="AJ60" s="34"/>
      <c r="AM60" s="144" t="s">
        <v>96</v>
      </c>
      <c r="AN60" s="156">
        <v>37.2</v>
      </c>
      <c r="AO60" s="182"/>
      <c r="AP60" s="182"/>
      <c r="AQ60" s="183"/>
      <c r="AR60" s="183"/>
      <c r="AS60" s="183"/>
      <c r="AT60" s="182"/>
      <c r="AU60" s="182"/>
    </row>
    <row r="61" spans="3:47" ht="15" customHeight="1">
      <c r="C61" s="153"/>
      <c r="F61" s="120"/>
      <c r="G61" s="120"/>
      <c r="H61" s="120"/>
      <c r="I61" s="120"/>
      <c r="J61" s="120"/>
      <c r="K61" s="120"/>
      <c r="U61" s="332" t="s">
        <v>0</v>
      </c>
      <c r="V61" s="332"/>
      <c r="W61" s="332"/>
      <c r="X61" s="332"/>
      <c r="Y61" s="166">
        <f>ROUND(SUM(Y59:Y59),2)</f>
        <v>33.57</v>
      </c>
      <c r="Z61" s="182"/>
      <c r="AA61" s="182"/>
      <c r="AB61" s="182"/>
      <c r="AC61" s="182"/>
      <c r="AE61" s="24"/>
      <c r="AF61" s="23"/>
      <c r="AG61" s="159"/>
      <c r="AH61" s="269" t="s">
        <v>497</v>
      </c>
      <c r="AI61" s="269"/>
      <c r="AJ61" s="269"/>
      <c r="AK61" s="269"/>
      <c r="AM61" s="183"/>
      <c r="AN61" s="183"/>
      <c r="AO61" s="183"/>
      <c r="AP61" s="183"/>
      <c r="AQ61" s="183"/>
      <c r="AR61" s="183"/>
      <c r="AS61" s="183"/>
      <c r="AT61" s="183"/>
      <c r="AU61" s="182"/>
    </row>
    <row r="62" spans="3:47" ht="15" customHeight="1">
      <c r="C62" s="288" t="s">
        <v>119</v>
      </c>
      <c r="D62" s="288"/>
      <c r="E62" s="288"/>
      <c r="F62" s="288"/>
      <c r="G62" s="288"/>
      <c r="H62" s="288"/>
      <c r="I62" s="288"/>
      <c r="J62" s="288"/>
      <c r="K62" s="288"/>
      <c r="U62" s="104"/>
      <c r="V62" s="104"/>
      <c r="W62" s="104"/>
      <c r="X62" s="104"/>
      <c r="Y62" s="104"/>
      <c r="Z62" s="182"/>
      <c r="AA62" s="182"/>
      <c r="AB62" s="182"/>
      <c r="AC62" s="182"/>
      <c r="AE62" s="277" t="s">
        <v>537</v>
      </c>
      <c r="AF62" s="277"/>
      <c r="AG62" s="23"/>
      <c r="AH62" s="34"/>
      <c r="AM62" s="183"/>
      <c r="AN62" s="183"/>
      <c r="AO62" s="183"/>
      <c r="AP62" s="183"/>
      <c r="AQ62" s="183"/>
      <c r="AR62" s="183"/>
      <c r="AS62" s="183"/>
      <c r="AT62" s="183"/>
      <c r="AU62" s="183"/>
    </row>
    <row r="63" spans="3:47" ht="15" customHeight="1">
      <c r="C63" s="305" t="s">
        <v>473</v>
      </c>
      <c r="D63" s="305"/>
      <c r="E63" s="305"/>
      <c r="F63" s="213">
        <f>2.84*4+3.15*2</f>
        <v>17.66</v>
      </c>
      <c r="G63" s="213">
        <f>0.14*4+0.19*2</f>
        <v>0.9400000000000001</v>
      </c>
      <c r="H63" s="213">
        <f>(3.5*4+4*2)*0.9</f>
        <v>19.8</v>
      </c>
      <c r="I63" s="213">
        <v>0</v>
      </c>
      <c r="J63" s="213">
        <v>0</v>
      </c>
      <c r="K63" s="213">
        <f>(8.5*4+8.5*2)*0.9</f>
        <v>45.9</v>
      </c>
      <c r="N63" s="277" t="s">
        <v>487</v>
      </c>
      <c r="O63" s="277"/>
      <c r="P63" s="277"/>
      <c r="Q63" s="277"/>
      <c r="R63" s="277"/>
      <c r="U63" s="104"/>
      <c r="V63" s="104"/>
      <c r="W63" s="104"/>
      <c r="X63" s="104"/>
      <c r="Y63" s="104"/>
      <c r="Z63" s="183"/>
      <c r="AA63" s="183"/>
      <c r="AB63" s="182"/>
      <c r="AC63" s="182"/>
      <c r="AE63" s="155" t="s">
        <v>7</v>
      </c>
      <c r="AF63" s="155" t="s">
        <v>4</v>
      </c>
      <c r="AG63" s="159"/>
      <c r="AI63" s="343" t="s">
        <v>213</v>
      </c>
      <c r="AJ63" s="343"/>
      <c r="AK63" s="159"/>
      <c r="AM63" s="183"/>
      <c r="AN63" s="183"/>
      <c r="AO63" s="183"/>
      <c r="AP63" s="183"/>
      <c r="AQ63" s="183"/>
      <c r="AR63" s="183"/>
      <c r="AS63" s="183"/>
      <c r="AT63" s="183"/>
      <c r="AU63" s="183"/>
    </row>
    <row r="64" spans="3:47" ht="15" customHeight="1">
      <c r="C64" s="305" t="s">
        <v>245</v>
      </c>
      <c r="D64" s="305"/>
      <c r="E64" s="305"/>
      <c r="F64" s="213">
        <v>26.11</v>
      </c>
      <c r="G64" s="213">
        <v>1.62</v>
      </c>
      <c r="H64" s="213">
        <f>26*0.9</f>
        <v>23.400000000000002</v>
      </c>
      <c r="I64" s="213">
        <v>0</v>
      </c>
      <c r="J64" s="213">
        <f>50.7*0.9</f>
        <v>45.63</v>
      </c>
      <c r="K64" s="213">
        <v>0</v>
      </c>
      <c r="N64" s="362" t="s">
        <v>117</v>
      </c>
      <c r="O64" s="362"/>
      <c r="P64" s="154" t="s">
        <v>486</v>
      </c>
      <c r="Q64" s="154" t="s">
        <v>136</v>
      </c>
      <c r="R64" s="155" t="s">
        <v>0</v>
      </c>
      <c r="U64" s="333" t="s">
        <v>493</v>
      </c>
      <c r="V64" s="333"/>
      <c r="W64" s="107"/>
      <c r="X64" s="333" t="s">
        <v>494</v>
      </c>
      <c r="Y64" s="333"/>
      <c r="Z64" s="183"/>
      <c r="AA64" s="183"/>
      <c r="AB64" s="182"/>
      <c r="AC64" s="182"/>
      <c r="AE64" s="144" t="s">
        <v>205</v>
      </c>
      <c r="AF64" s="156">
        <f>ROUND(0.4+0.4,2)</f>
        <v>0.8</v>
      </c>
      <c r="AG64" s="182"/>
      <c r="AI64" s="232" t="s">
        <v>7</v>
      </c>
      <c r="AJ64" s="155" t="s">
        <v>4</v>
      </c>
      <c r="AM64" s="183"/>
      <c r="AN64" s="183"/>
      <c r="AO64" s="183"/>
      <c r="AP64" s="183"/>
      <c r="AQ64" s="183"/>
      <c r="AR64" s="183"/>
      <c r="AS64" s="183"/>
      <c r="AT64" s="183"/>
      <c r="AU64" s="183"/>
    </row>
    <row r="65" spans="3:47" ht="15" customHeight="1">
      <c r="C65" s="279" t="s">
        <v>247</v>
      </c>
      <c r="D65" s="279"/>
      <c r="E65" s="279"/>
      <c r="F65" s="215">
        <f aca="true" t="shared" si="18" ref="F65:K65">ROUND(SUM(F63:F64),2)</f>
        <v>43.77</v>
      </c>
      <c r="G65" s="215">
        <f t="shared" si="18"/>
        <v>2.56</v>
      </c>
      <c r="H65" s="215">
        <f t="shared" si="18"/>
        <v>43.2</v>
      </c>
      <c r="I65" s="215">
        <f t="shared" si="18"/>
        <v>0</v>
      </c>
      <c r="J65" s="215">
        <f t="shared" si="18"/>
        <v>45.63</v>
      </c>
      <c r="K65" s="215">
        <f t="shared" si="18"/>
        <v>45.9</v>
      </c>
      <c r="N65" s="281" t="s">
        <v>249</v>
      </c>
      <c r="O65" s="281"/>
      <c r="P65" s="28">
        <f>G59</f>
        <v>1.52</v>
      </c>
      <c r="Q65" s="28">
        <f>I45</f>
        <v>0.59</v>
      </c>
      <c r="R65" s="156">
        <f>P65+Q65</f>
        <v>2.11</v>
      </c>
      <c r="U65" s="241" t="s">
        <v>117</v>
      </c>
      <c r="V65" s="241" t="s">
        <v>57</v>
      </c>
      <c r="W65" s="107"/>
      <c r="X65" s="241" t="s">
        <v>117</v>
      </c>
      <c r="Y65" s="241" t="s">
        <v>57</v>
      </c>
      <c r="Z65" s="183"/>
      <c r="AA65" s="183"/>
      <c r="AB65" s="182"/>
      <c r="AC65" s="182"/>
      <c r="AE65" s="183"/>
      <c r="AF65" s="183"/>
      <c r="AI65" s="28" t="s">
        <v>512</v>
      </c>
      <c r="AJ65" s="28">
        <v>12</v>
      </c>
      <c r="AM65" s="183"/>
      <c r="AN65" s="183"/>
      <c r="AO65" s="183"/>
      <c r="AP65" s="183"/>
      <c r="AQ65" s="183"/>
      <c r="AR65" s="183"/>
      <c r="AS65" s="183"/>
      <c r="AT65" s="183"/>
      <c r="AU65" s="183"/>
    </row>
    <row r="66" spans="3:47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O66"/>
      <c r="P66"/>
      <c r="Q66"/>
      <c r="R66"/>
      <c r="U66" s="105" t="s">
        <v>96</v>
      </c>
      <c r="V66" s="105">
        <v>12.05</v>
      </c>
      <c r="W66" s="107"/>
      <c r="X66" s="105" t="s">
        <v>96</v>
      </c>
      <c r="Y66" s="105">
        <v>8.35</v>
      </c>
      <c r="Z66" s="183"/>
      <c r="AA66" s="183"/>
      <c r="AB66" s="183"/>
      <c r="AC66" s="183"/>
      <c r="AE66" s="183"/>
      <c r="AF66" s="183"/>
      <c r="AI66" s="28" t="s">
        <v>96</v>
      </c>
      <c r="AJ66" s="28">
        <v>18.1</v>
      </c>
      <c r="AM66" s="183"/>
      <c r="AN66" s="183"/>
      <c r="AO66" s="183"/>
      <c r="AP66" s="183"/>
      <c r="AQ66" s="183"/>
      <c r="AR66" s="183"/>
      <c r="AS66" s="183"/>
      <c r="AT66" s="183"/>
      <c r="AU66" s="183"/>
    </row>
    <row r="67" spans="3:47" ht="15" customHeight="1">
      <c r="C67" s="287" t="s">
        <v>118</v>
      </c>
      <c r="D67" s="287"/>
      <c r="E67" s="287"/>
      <c r="F67" s="216">
        <f aca="true" t="shared" si="19" ref="F67:K67">F60+F65</f>
        <v>84.03</v>
      </c>
      <c r="G67" s="216">
        <f t="shared" si="19"/>
        <v>6.1</v>
      </c>
      <c r="H67" s="216">
        <f t="shared" si="19"/>
        <v>79.47</v>
      </c>
      <c r="I67" s="216">
        <f t="shared" si="19"/>
        <v>33.3</v>
      </c>
      <c r="J67" s="216">
        <f t="shared" si="19"/>
        <v>100.89</v>
      </c>
      <c r="K67" s="216">
        <f t="shared" si="19"/>
        <v>104.85</v>
      </c>
      <c r="O67"/>
      <c r="P67"/>
      <c r="Q67"/>
      <c r="R67"/>
      <c r="U67" s="239" t="s">
        <v>0</v>
      </c>
      <c r="V67" s="166">
        <f>ROUND(SUM(V66:V66),2)</f>
        <v>12.05</v>
      </c>
      <c r="W67" s="107"/>
      <c r="X67" s="239" t="s">
        <v>0</v>
      </c>
      <c r="Y67" s="166">
        <f>ROUND(SUM(Y66:Y66),2)</f>
        <v>8.35</v>
      </c>
      <c r="Z67" s="183"/>
      <c r="AA67" s="183"/>
      <c r="AB67" s="183"/>
      <c r="AC67" s="183"/>
      <c r="AE67" s="277" t="s">
        <v>538</v>
      </c>
      <c r="AF67" s="277"/>
      <c r="AI67" s="28" t="s">
        <v>513</v>
      </c>
      <c r="AJ67" s="28">
        <v>2.22</v>
      </c>
      <c r="AK67" s="183"/>
      <c r="AM67" s="183"/>
      <c r="AN67" s="183"/>
      <c r="AO67" s="183"/>
      <c r="AP67" s="183"/>
      <c r="AQ67" s="183"/>
      <c r="AR67" s="183"/>
      <c r="AS67" s="183"/>
      <c r="AT67" s="183"/>
      <c r="AU67" s="183"/>
    </row>
    <row r="68" spans="3:47" ht="15" customHeight="1">
      <c r="C68" s="268" t="s">
        <v>478</v>
      </c>
      <c r="D68" s="268"/>
      <c r="E68" s="268"/>
      <c r="F68" s="268"/>
      <c r="G68" s="268"/>
      <c r="H68" s="268"/>
      <c r="I68" s="268"/>
      <c r="J68" s="268"/>
      <c r="K68" s="268"/>
      <c r="O68"/>
      <c r="P68"/>
      <c r="Q68"/>
      <c r="R68"/>
      <c r="U68" s="183"/>
      <c r="V68" s="183"/>
      <c r="W68" s="183"/>
      <c r="X68" s="183"/>
      <c r="Y68" s="183"/>
      <c r="Z68" s="183"/>
      <c r="AA68" s="183"/>
      <c r="AB68" s="183"/>
      <c r="AC68" s="183"/>
      <c r="AE68" s="155" t="s">
        <v>7</v>
      </c>
      <c r="AF68" s="155" t="s">
        <v>4</v>
      </c>
      <c r="AI68" s="233" t="s">
        <v>0</v>
      </c>
      <c r="AJ68" s="156">
        <f>ROUND(SUM(AJ65:AJ67),2)</f>
        <v>32.32</v>
      </c>
      <c r="AK68" s="183"/>
      <c r="AM68" s="183"/>
      <c r="AN68" s="183"/>
      <c r="AO68" s="183"/>
      <c r="AP68" s="183"/>
      <c r="AQ68" s="183"/>
      <c r="AR68" s="183"/>
      <c r="AS68" s="183"/>
      <c r="AT68" s="183"/>
      <c r="AU68" s="183"/>
    </row>
    <row r="69" spans="15:47" ht="15" customHeight="1">
      <c r="O69"/>
      <c r="P69"/>
      <c r="Q69"/>
      <c r="R69"/>
      <c r="U69" s="183"/>
      <c r="V69" s="183"/>
      <c r="W69" s="183"/>
      <c r="X69" s="183"/>
      <c r="Y69" s="183"/>
      <c r="Z69" s="183"/>
      <c r="AA69" s="183"/>
      <c r="AB69" s="183"/>
      <c r="AC69" s="183"/>
      <c r="AE69" s="144" t="s">
        <v>205</v>
      </c>
      <c r="AF69" s="156">
        <f>ROUND(1.1129,2)</f>
        <v>1.11</v>
      </c>
      <c r="AK69" s="183"/>
      <c r="AM69" s="183"/>
      <c r="AN69" s="183"/>
      <c r="AO69" s="183"/>
      <c r="AP69" s="183"/>
      <c r="AQ69" s="183"/>
      <c r="AR69" s="183"/>
      <c r="AS69" s="183"/>
      <c r="AT69" s="183"/>
      <c r="AU69" s="183"/>
    </row>
    <row r="70" spans="15:47" ht="15" customHeight="1">
      <c r="O70"/>
      <c r="P70"/>
      <c r="Q70"/>
      <c r="R70"/>
      <c r="U70" s="183"/>
      <c r="V70" s="183"/>
      <c r="W70" s="183"/>
      <c r="X70" s="183"/>
      <c r="Y70" s="183"/>
      <c r="Z70" s="183"/>
      <c r="AA70" s="183"/>
      <c r="AB70" s="183"/>
      <c r="AC70" s="183"/>
      <c r="AK70" s="183"/>
      <c r="AM70" s="183"/>
      <c r="AN70" s="183"/>
      <c r="AO70" s="183"/>
      <c r="AP70" s="183"/>
      <c r="AQ70" s="183"/>
      <c r="AR70" s="183"/>
      <c r="AS70" s="183"/>
      <c r="AT70" s="183"/>
      <c r="AU70" s="183"/>
    </row>
    <row r="71" spans="8:47" ht="15" customHeight="1">
      <c r="H71" s="219"/>
      <c r="I71" s="219"/>
      <c r="J71" s="219"/>
      <c r="K71" s="219"/>
      <c r="O71"/>
      <c r="P71"/>
      <c r="Q71"/>
      <c r="R71"/>
      <c r="U71" s="183"/>
      <c r="V71" s="183"/>
      <c r="W71" s="183"/>
      <c r="X71" s="183"/>
      <c r="Y71" s="183"/>
      <c r="Z71" s="183"/>
      <c r="AA71" s="183"/>
      <c r="AB71" s="183"/>
      <c r="AC71" s="183"/>
      <c r="AE71" s="182"/>
      <c r="AF71" s="182"/>
      <c r="AG71" s="91"/>
      <c r="AK71" s="183"/>
      <c r="AM71" s="183"/>
      <c r="AN71" s="183"/>
      <c r="AO71" s="183"/>
      <c r="AP71" s="183"/>
      <c r="AQ71" s="183"/>
      <c r="AR71" s="183"/>
      <c r="AS71" s="183"/>
      <c r="AT71" s="183"/>
      <c r="AU71" s="183"/>
    </row>
    <row r="72" spans="15:47" ht="15" customHeight="1">
      <c r="O72"/>
      <c r="P72"/>
      <c r="Q72"/>
      <c r="R72"/>
      <c r="U72" s="183"/>
      <c r="V72" s="183"/>
      <c r="W72" s="183"/>
      <c r="X72" s="183"/>
      <c r="Y72" s="183"/>
      <c r="Z72" s="183"/>
      <c r="AA72" s="183"/>
      <c r="AB72" s="183"/>
      <c r="AC72" s="183"/>
      <c r="AG72" s="91"/>
      <c r="AK72" s="183"/>
      <c r="AM72" s="183"/>
      <c r="AN72" s="183"/>
      <c r="AO72" s="183"/>
      <c r="AP72" s="183"/>
      <c r="AQ72" s="183"/>
      <c r="AR72" s="183"/>
      <c r="AS72" s="183"/>
      <c r="AT72" s="183"/>
      <c r="AU72" s="183"/>
    </row>
    <row r="73" spans="21:47" ht="15" customHeight="1"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K73" s="183"/>
      <c r="AM73" s="183"/>
      <c r="AN73" s="183"/>
      <c r="AO73" s="183"/>
      <c r="AP73" s="183"/>
      <c r="AQ73" s="183"/>
      <c r="AR73" s="183"/>
      <c r="AS73" s="183"/>
      <c r="AT73" s="183"/>
      <c r="AU73" s="183"/>
    </row>
    <row r="74" spans="21:47" ht="15" customHeight="1">
      <c r="U74" s="183"/>
      <c r="V74" s="183"/>
      <c r="W74" s="183"/>
      <c r="X74" s="183"/>
      <c r="Y74" s="183"/>
      <c r="Z74" s="183"/>
      <c r="AA74" s="183"/>
      <c r="AB74" s="183"/>
      <c r="AC74" s="183"/>
      <c r="AK74" s="183"/>
      <c r="AM74" s="183"/>
      <c r="AN74" s="183"/>
      <c r="AO74" s="183"/>
      <c r="AP74" s="183"/>
      <c r="AQ74" s="183"/>
      <c r="AR74" s="183"/>
      <c r="AS74" s="183"/>
      <c r="AT74" s="183"/>
      <c r="AU74" s="183"/>
    </row>
    <row r="75" spans="21:47" ht="15" customHeight="1">
      <c r="U75" s="183"/>
      <c r="V75" s="183"/>
      <c r="W75" s="183"/>
      <c r="X75" s="183"/>
      <c r="Y75" s="183"/>
      <c r="Z75" s="183"/>
      <c r="AA75" s="183"/>
      <c r="AB75" s="183"/>
      <c r="AC75" s="183"/>
      <c r="AK75" s="183"/>
      <c r="AM75" s="183"/>
      <c r="AN75" s="183"/>
      <c r="AO75" s="183"/>
      <c r="AP75" s="183"/>
      <c r="AQ75" s="183"/>
      <c r="AR75" s="183"/>
      <c r="AS75" s="183"/>
      <c r="AT75" s="183"/>
      <c r="AU75" s="183"/>
    </row>
    <row r="76" spans="21:47" ht="15" customHeight="1">
      <c r="U76" s="183"/>
      <c r="V76" s="183"/>
      <c r="W76" s="183"/>
      <c r="X76" s="183"/>
      <c r="Y76" s="183"/>
      <c r="Z76" s="183"/>
      <c r="AA76" s="183"/>
      <c r="AB76" s="183"/>
      <c r="AC76" s="183"/>
      <c r="AK76" s="183"/>
      <c r="AM76" s="183"/>
      <c r="AN76" s="183"/>
      <c r="AO76" s="183"/>
      <c r="AP76" s="183"/>
      <c r="AQ76" s="183"/>
      <c r="AR76" s="183"/>
      <c r="AS76" s="183"/>
      <c r="AT76" s="183"/>
      <c r="AU76" s="183"/>
    </row>
    <row r="77" spans="21:47" ht="15" customHeight="1">
      <c r="U77" s="183"/>
      <c r="V77" s="183"/>
      <c r="W77" s="183"/>
      <c r="X77" s="183"/>
      <c r="Y77" s="183"/>
      <c r="Z77" s="183"/>
      <c r="AA77" s="183"/>
      <c r="AB77" s="183"/>
      <c r="AC77" s="183"/>
      <c r="AK77" s="183"/>
      <c r="AM77" s="183"/>
      <c r="AN77" s="183"/>
      <c r="AO77" s="183"/>
      <c r="AP77" s="183"/>
      <c r="AQ77" s="183"/>
      <c r="AR77" s="183"/>
      <c r="AS77" s="183"/>
      <c r="AT77" s="183"/>
      <c r="AU77" s="183"/>
    </row>
    <row r="78" spans="21:47" ht="15" customHeight="1">
      <c r="U78" s="183"/>
      <c r="V78" s="183"/>
      <c r="W78" s="183"/>
      <c r="X78" s="183"/>
      <c r="Y78" s="183"/>
      <c r="Z78" s="183"/>
      <c r="AA78" s="183"/>
      <c r="AB78" s="183"/>
      <c r="AC78" s="183"/>
      <c r="AK78" s="183"/>
      <c r="AM78" s="183"/>
      <c r="AN78" s="183"/>
      <c r="AO78" s="183"/>
      <c r="AP78" s="183"/>
      <c r="AQ78" s="183"/>
      <c r="AR78" s="183"/>
      <c r="AS78" s="183"/>
      <c r="AT78" s="183"/>
      <c r="AU78" s="183"/>
    </row>
    <row r="79" spans="21:47" ht="15" customHeight="1">
      <c r="U79" s="183"/>
      <c r="V79" s="183"/>
      <c r="W79" s="183"/>
      <c r="X79" s="183"/>
      <c r="Y79" s="183"/>
      <c r="Z79" s="183"/>
      <c r="AA79" s="183"/>
      <c r="AB79" s="183"/>
      <c r="AC79" s="183"/>
      <c r="AK79" s="183"/>
      <c r="AM79" s="183"/>
      <c r="AN79" s="183"/>
      <c r="AO79" s="183"/>
      <c r="AP79" s="183"/>
      <c r="AQ79" s="183"/>
      <c r="AR79" s="183"/>
      <c r="AS79" s="183"/>
      <c r="AT79" s="183"/>
      <c r="AU79" s="183"/>
    </row>
    <row r="80" spans="21:47" ht="15" customHeight="1">
      <c r="U80" s="183"/>
      <c r="V80" s="183"/>
      <c r="W80" s="183"/>
      <c r="X80" s="183"/>
      <c r="Y80" s="183"/>
      <c r="Z80" s="183"/>
      <c r="AA80" s="183"/>
      <c r="AB80" s="183"/>
      <c r="AC80" s="183"/>
      <c r="AK80" s="183"/>
      <c r="AM80" s="183"/>
      <c r="AN80" s="183"/>
      <c r="AO80" s="183"/>
      <c r="AP80" s="183"/>
      <c r="AQ80" s="183"/>
      <c r="AR80" s="183"/>
      <c r="AS80" s="183"/>
      <c r="AT80" s="183"/>
      <c r="AU80" s="183"/>
    </row>
    <row r="81" spans="21:47" ht="15" customHeight="1">
      <c r="U81" s="183"/>
      <c r="V81" s="183"/>
      <c r="W81" s="183"/>
      <c r="X81" s="183"/>
      <c r="Y81" s="183"/>
      <c r="Z81" s="183"/>
      <c r="AA81" s="183"/>
      <c r="AB81" s="183"/>
      <c r="AC81" s="183"/>
      <c r="AK81" s="183"/>
      <c r="AM81" s="183"/>
      <c r="AN81" s="183"/>
      <c r="AO81" s="183"/>
      <c r="AP81" s="183"/>
      <c r="AQ81" s="183"/>
      <c r="AR81" s="183"/>
      <c r="AS81" s="183"/>
      <c r="AT81" s="183"/>
      <c r="AU81" s="183"/>
    </row>
    <row r="82" spans="21:47" ht="15" customHeight="1">
      <c r="U82" s="183"/>
      <c r="V82" s="183"/>
      <c r="W82" s="183"/>
      <c r="X82" s="183"/>
      <c r="Y82" s="183"/>
      <c r="Z82" s="183"/>
      <c r="AA82" s="183"/>
      <c r="AB82" s="183"/>
      <c r="AC82" s="183"/>
      <c r="AK82" s="183"/>
      <c r="AM82" s="183"/>
      <c r="AN82" s="183"/>
      <c r="AO82" s="183"/>
      <c r="AP82" s="183"/>
      <c r="AQ82" s="183"/>
      <c r="AR82" s="183"/>
      <c r="AS82" s="183"/>
      <c r="AT82" s="183"/>
      <c r="AU82" s="183"/>
    </row>
    <row r="83" spans="21:47" ht="15" customHeight="1">
      <c r="U83" s="183"/>
      <c r="V83" s="183"/>
      <c r="W83" s="183"/>
      <c r="X83" s="183"/>
      <c r="Y83" s="183"/>
      <c r="Z83" s="183"/>
      <c r="AA83" s="183"/>
      <c r="AB83" s="183"/>
      <c r="AC83" s="183"/>
      <c r="AK83" s="183"/>
      <c r="AM83" s="183"/>
      <c r="AN83" s="183"/>
      <c r="AO83" s="183"/>
      <c r="AP83" s="183"/>
      <c r="AQ83" s="183"/>
      <c r="AR83" s="183"/>
      <c r="AS83" s="183"/>
      <c r="AT83" s="183"/>
      <c r="AU83" s="183"/>
    </row>
    <row r="84" spans="21:47" ht="15" customHeight="1">
      <c r="U84" s="183"/>
      <c r="V84" s="183"/>
      <c r="W84" s="183"/>
      <c r="X84" s="183"/>
      <c r="Y84" s="183"/>
      <c r="Z84" s="183"/>
      <c r="AA84" s="183"/>
      <c r="AB84" s="183"/>
      <c r="AC84" s="183"/>
      <c r="AK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21:47" ht="15" customHeight="1">
      <c r="U85" s="183"/>
      <c r="V85" s="183"/>
      <c r="W85" s="183"/>
      <c r="X85" s="183"/>
      <c r="Y85" s="183"/>
      <c r="Z85" s="183"/>
      <c r="AA85" s="183"/>
      <c r="AB85" s="183"/>
      <c r="AC85" s="183"/>
      <c r="AK85" s="183"/>
      <c r="AM85" s="183"/>
      <c r="AN85" s="183"/>
      <c r="AO85" s="183"/>
      <c r="AP85" s="183"/>
      <c r="AQ85" s="183"/>
      <c r="AR85" s="183"/>
      <c r="AS85" s="183"/>
      <c r="AT85" s="183"/>
      <c r="AU85" s="183"/>
    </row>
    <row r="86" spans="21:47" ht="15" customHeight="1">
      <c r="U86" s="183"/>
      <c r="V86" s="183"/>
      <c r="W86" s="183"/>
      <c r="X86" s="183"/>
      <c r="Y86" s="183"/>
      <c r="Z86" s="183"/>
      <c r="AA86" s="183"/>
      <c r="AB86" s="183"/>
      <c r="AC86" s="183"/>
      <c r="AK86" s="183"/>
      <c r="AM86" s="183"/>
      <c r="AN86" s="183"/>
      <c r="AO86" s="183"/>
      <c r="AP86" s="183"/>
      <c r="AQ86" s="183"/>
      <c r="AR86" s="183"/>
      <c r="AS86" s="183"/>
      <c r="AT86" s="183"/>
      <c r="AU86" s="183"/>
    </row>
    <row r="87" spans="21:47" ht="15" customHeight="1">
      <c r="U87" s="183"/>
      <c r="V87" s="183"/>
      <c r="W87" s="183"/>
      <c r="X87" s="183"/>
      <c r="Y87" s="183"/>
      <c r="Z87" s="183"/>
      <c r="AA87" s="183"/>
      <c r="AB87" s="183"/>
      <c r="AC87" s="183"/>
      <c r="AK87" s="183"/>
      <c r="AM87" s="183"/>
      <c r="AN87" s="183"/>
      <c r="AO87" s="183"/>
      <c r="AP87" s="183"/>
      <c r="AQ87" s="183"/>
      <c r="AR87" s="183"/>
      <c r="AS87" s="183"/>
      <c r="AT87" s="183"/>
      <c r="AU87" s="183"/>
    </row>
    <row r="88" spans="21:47" ht="15" customHeight="1">
      <c r="U88" s="183"/>
      <c r="V88" s="183"/>
      <c r="W88" s="183"/>
      <c r="X88" s="183"/>
      <c r="Y88" s="183"/>
      <c r="Z88" s="183"/>
      <c r="AA88" s="183"/>
      <c r="AB88" s="183"/>
      <c r="AC88" s="183"/>
      <c r="AK88" s="183"/>
      <c r="AM88" s="183"/>
      <c r="AN88" s="183"/>
      <c r="AO88" s="183"/>
      <c r="AP88" s="183"/>
      <c r="AQ88" s="183"/>
      <c r="AR88" s="183"/>
      <c r="AS88" s="183"/>
      <c r="AT88" s="183"/>
      <c r="AU88" s="183"/>
    </row>
    <row r="89" spans="21:47" ht="15" customHeight="1">
      <c r="U89" s="183"/>
      <c r="V89" s="183"/>
      <c r="W89" s="183"/>
      <c r="X89" s="183"/>
      <c r="Y89" s="183"/>
      <c r="Z89" s="183"/>
      <c r="AA89" s="183"/>
      <c r="AB89" s="183"/>
      <c r="AC89" s="183"/>
      <c r="AK89" s="183"/>
      <c r="AM89" s="183"/>
      <c r="AN89" s="183"/>
      <c r="AO89" s="183"/>
      <c r="AP89" s="183"/>
      <c r="AQ89" s="183"/>
      <c r="AR89" s="183"/>
      <c r="AS89" s="183"/>
      <c r="AT89" s="183"/>
      <c r="AU89" s="183"/>
    </row>
    <row r="90" spans="21:47" ht="15" customHeight="1">
      <c r="U90" s="183"/>
      <c r="V90" s="183"/>
      <c r="W90" s="183"/>
      <c r="X90" s="183"/>
      <c r="Y90" s="183"/>
      <c r="Z90" s="183"/>
      <c r="AA90" s="183"/>
      <c r="AB90" s="183"/>
      <c r="AC90" s="183"/>
      <c r="AK90" s="183"/>
      <c r="AM90" s="183"/>
      <c r="AN90" s="183"/>
      <c r="AO90" s="183"/>
      <c r="AP90" s="183"/>
      <c r="AQ90" s="183"/>
      <c r="AR90" s="183"/>
      <c r="AS90" s="183"/>
      <c r="AT90" s="183"/>
      <c r="AU90" s="183"/>
    </row>
    <row r="91" spans="21:47" ht="15" customHeight="1">
      <c r="U91" s="183"/>
      <c r="V91" s="183"/>
      <c r="W91" s="183"/>
      <c r="X91" s="183"/>
      <c r="Y91" s="183"/>
      <c r="Z91" s="183"/>
      <c r="AA91" s="183"/>
      <c r="AB91" s="183"/>
      <c r="AC91" s="183"/>
      <c r="AK91" s="183"/>
      <c r="AM91" s="183"/>
      <c r="AN91" s="183"/>
      <c r="AO91" s="183"/>
      <c r="AP91" s="183"/>
      <c r="AQ91" s="183"/>
      <c r="AR91" s="183"/>
      <c r="AS91" s="183"/>
      <c r="AT91" s="183"/>
      <c r="AU91" s="183"/>
    </row>
    <row r="92" spans="21:47" ht="15" customHeight="1">
      <c r="U92" s="183"/>
      <c r="V92" s="183"/>
      <c r="W92" s="183"/>
      <c r="X92" s="183"/>
      <c r="Y92" s="183"/>
      <c r="Z92" s="183"/>
      <c r="AA92" s="183"/>
      <c r="AB92" s="183"/>
      <c r="AC92" s="183"/>
      <c r="AK92" s="183"/>
      <c r="AM92" s="183"/>
      <c r="AN92" s="183"/>
      <c r="AO92" s="183"/>
      <c r="AP92" s="183"/>
      <c r="AQ92" s="183"/>
      <c r="AR92" s="183"/>
      <c r="AS92" s="183"/>
      <c r="AT92" s="183"/>
      <c r="AU92" s="183"/>
    </row>
    <row r="93" spans="21:47" ht="15" customHeight="1">
      <c r="U93" s="183"/>
      <c r="V93" s="183"/>
      <c r="W93" s="183"/>
      <c r="X93" s="183"/>
      <c r="Y93" s="183"/>
      <c r="Z93" s="183"/>
      <c r="AA93" s="183"/>
      <c r="AB93" s="183"/>
      <c r="AC93" s="183"/>
      <c r="AK93" s="183"/>
      <c r="AM93" s="183"/>
      <c r="AN93" s="183"/>
      <c r="AO93" s="183"/>
      <c r="AP93" s="183"/>
      <c r="AQ93" s="183"/>
      <c r="AR93" s="183"/>
      <c r="AS93" s="183"/>
      <c r="AT93" s="183"/>
      <c r="AU93" s="183"/>
    </row>
    <row r="94" spans="21:47" ht="15" customHeight="1">
      <c r="U94" s="183"/>
      <c r="V94" s="183"/>
      <c r="W94" s="183"/>
      <c r="X94" s="183"/>
      <c r="Y94" s="183"/>
      <c r="Z94" s="183"/>
      <c r="AA94" s="183"/>
      <c r="AB94" s="183"/>
      <c r="AC94" s="183"/>
      <c r="AK94" s="183"/>
      <c r="AM94" s="183"/>
      <c r="AN94" s="183"/>
      <c r="AO94" s="183"/>
      <c r="AP94" s="183"/>
      <c r="AQ94" s="183"/>
      <c r="AR94" s="183"/>
      <c r="AS94" s="183"/>
      <c r="AT94" s="183"/>
      <c r="AU94" s="183"/>
    </row>
    <row r="95" spans="21:47" ht="15" customHeight="1">
      <c r="U95" s="183"/>
      <c r="V95" s="183"/>
      <c r="W95" s="183"/>
      <c r="X95" s="183"/>
      <c r="Y95" s="183"/>
      <c r="Z95" s="183"/>
      <c r="AA95" s="183"/>
      <c r="AB95" s="183"/>
      <c r="AC95" s="183"/>
      <c r="AK95" s="183"/>
      <c r="AM95" s="183"/>
      <c r="AN95" s="183"/>
      <c r="AO95" s="183"/>
      <c r="AP95" s="183"/>
      <c r="AQ95" s="183"/>
      <c r="AR95" s="183"/>
      <c r="AS95" s="183"/>
      <c r="AT95" s="183"/>
      <c r="AU95" s="183"/>
    </row>
    <row r="96" spans="21:47" ht="15" customHeight="1">
      <c r="U96" s="183"/>
      <c r="V96" s="183"/>
      <c r="W96" s="183"/>
      <c r="X96" s="183"/>
      <c r="Y96" s="183"/>
      <c r="Z96" s="183"/>
      <c r="AA96" s="183"/>
      <c r="AB96" s="183"/>
      <c r="AC96" s="183"/>
      <c r="AK96" s="183"/>
      <c r="AM96" s="183"/>
      <c r="AN96" s="183"/>
      <c r="AO96" s="183"/>
      <c r="AP96" s="183"/>
      <c r="AQ96" s="183"/>
      <c r="AR96" s="183"/>
      <c r="AS96" s="183"/>
      <c r="AT96" s="183"/>
      <c r="AU96" s="183"/>
    </row>
    <row r="97" spans="21:47" ht="15" customHeight="1">
      <c r="U97" s="183"/>
      <c r="V97" s="183"/>
      <c r="W97" s="183"/>
      <c r="X97" s="183"/>
      <c r="Y97" s="183"/>
      <c r="Z97" s="183"/>
      <c r="AA97" s="183"/>
      <c r="AB97" s="183"/>
      <c r="AC97" s="183"/>
      <c r="AK97" s="183"/>
      <c r="AM97" s="183"/>
      <c r="AN97" s="183"/>
      <c r="AO97" s="183"/>
      <c r="AP97" s="183"/>
      <c r="AQ97" s="183"/>
      <c r="AR97" s="183"/>
      <c r="AS97" s="183"/>
      <c r="AT97" s="183"/>
      <c r="AU97" s="183"/>
    </row>
    <row r="98" spans="21:47" ht="12.75">
      <c r="U98" s="183"/>
      <c r="V98" s="183"/>
      <c r="W98" s="183"/>
      <c r="X98" s="183"/>
      <c r="Y98" s="183"/>
      <c r="Z98" s="183"/>
      <c r="AA98" s="183"/>
      <c r="AB98" s="183"/>
      <c r="AC98" s="183"/>
      <c r="AK98" s="183"/>
      <c r="AM98" s="183"/>
      <c r="AN98" s="183"/>
      <c r="AO98" s="183"/>
      <c r="AP98" s="183"/>
      <c r="AQ98" s="183"/>
      <c r="AR98" s="183"/>
      <c r="AS98" s="183"/>
      <c r="AT98" s="183"/>
      <c r="AU98" s="183"/>
    </row>
    <row r="99" spans="21:47" ht="12.75">
      <c r="U99" s="183"/>
      <c r="V99" s="183"/>
      <c r="W99" s="183"/>
      <c r="X99" s="183"/>
      <c r="Y99" s="183"/>
      <c r="Z99" s="183"/>
      <c r="AA99" s="183"/>
      <c r="AB99" s="183"/>
      <c r="AC99" s="183"/>
      <c r="AK99" s="183"/>
      <c r="AM99" s="183"/>
      <c r="AN99" s="183"/>
      <c r="AO99" s="183"/>
      <c r="AP99" s="183"/>
      <c r="AQ99" s="183"/>
      <c r="AR99" s="183"/>
      <c r="AS99" s="183"/>
      <c r="AT99" s="183"/>
      <c r="AU99" s="183"/>
    </row>
    <row r="100" spans="21:47" ht="12.75">
      <c r="U100" s="183"/>
      <c r="V100" s="183"/>
      <c r="W100" s="183"/>
      <c r="X100" s="183"/>
      <c r="Y100" s="183"/>
      <c r="Z100" s="183"/>
      <c r="AA100" s="183"/>
      <c r="AB100" s="183"/>
      <c r="AC100" s="183"/>
      <c r="AK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</row>
    <row r="101" spans="21:47" ht="12.75">
      <c r="U101" s="183"/>
      <c r="V101" s="183"/>
      <c r="W101" s="183"/>
      <c r="X101" s="183"/>
      <c r="Y101" s="183"/>
      <c r="Z101" s="183"/>
      <c r="AA101" s="183"/>
      <c r="AB101" s="183"/>
      <c r="AC101" s="183"/>
      <c r="AK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</row>
    <row r="102" spans="21:47" ht="12.75">
      <c r="U102" s="183"/>
      <c r="V102" s="183"/>
      <c r="W102" s="183"/>
      <c r="X102" s="183"/>
      <c r="Y102" s="183"/>
      <c r="Z102" s="183"/>
      <c r="AA102" s="183"/>
      <c r="AB102" s="183"/>
      <c r="AC102" s="183"/>
      <c r="AK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</row>
    <row r="103" spans="21:47" ht="12.75">
      <c r="U103" s="183"/>
      <c r="V103" s="183"/>
      <c r="W103" s="183"/>
      <c r="X103" s="183"/>
      <c r="Y103" s="183"/>
      <c r="Z103" s="183"/>
      <c r="AA103" s="183"/>
      <c r="AB103" s="183"/>
      <c r="AC103" s="183"/>
      <c r="AK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</row>
    <row r="104" spans="21:47" ht="12.75">
      <c r="U104" s="183"/>
      <c r="V104" s="183"/>
      <c r="W104" s="183"/>
      <c r="X104" s="183"/>
      <c r="Y104" s="183"/>
      <c r="Z104" s="183"/>
      <c r="AA104" s="183"/>
      <c r="AB104" s="183"/>
      <c r="AC104" s="183"/>
      <c r="AK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</row>
    <row r="105" spans="21:47" ht="12.75">
      <c r="U105" s="183"/>
      <c r="V105" s="183"/>
      <c r="W105" s="183"/>
      <c r="X105" s="183"/>
      <c r="Y105" s="183"/>
      <c r="Z105" s="183"/>
      <c r="AA105" s="183"/>
      <c r="AB105" s="183"/>
      <c r="AC105" s="183"/>
      <c r="AK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</row>
    <row r="106" spans="21:47" ht="12.75">
      <c r="U106" s="183"/>
      <c r="V106" s="183"/>
      <c r="W106" s="183"/>
      <c r="X106" s="183"/>
      <c r="Y106" s="183"/>
      <c r="Z106" s="183"/>
      <c r="AA106" s="183"/>
      <c r="AB106" s="183"/>
      <c r="AC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</row>
    <row r="107" spans="21:47" ht="12.75">
      <c r="U107" s="183"/>
      <c r="V107" s="183"/>
      <c r="W107" s="183"/>
      <c r="X107" s="183"/>
      <c r="Y107" s="183"/>
      <c r="Z107" s="183"/>
      <c r="AA107" s="183"/>
      <c r="AB107" s="183"/>
      <c r="AC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</row>
    <row r="108" spans="21:47" ht="12.75">
      <c r="U108" s="183"/>
      <c r="V108" s="183"/>
      <c r="W108" s="183"/>
      <c r="X108" s="183"/>
      <c r="Y108" s="183"/>
      <c r="Z108" s="183"/>
      <c r="AA108" s="183"/>
      <c r="AB108" s="183"/>
      <c r="AC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</row>
    <row r="109" spans="21:47" ht="12.75">
      <c r="U109" s="183"/>
      <c r="V109" s="183"/>
      <c r="W109" s="183"/>
      <c r="X109" s="183"/>
      <c r="Y109" s="183"/>
      <c r="Z109" s="183"/>
      <c r="AA109" s="183"/>
      <c r="AB109" s="183"/>
      <c r="AC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</row>
    <row r="110" spans="21:47" ht="12.75">
      <c r="U110" s="183"/>
      <c r="V110" s="183"/>
      <c r="W110" s="183"/>
      <c r="X110" s="183"/>
      <c r="Y110" s="183"/>
      <c r="Z110" s="183"/>
      <c r="AA110" s="183"/>
      <c r="AB110" s="183"/>
      <c r="AC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</row>
    <row r="111" spans="21:47" ht="12.75">
      <c r="U111" s="183"/>
      <c r="V111" s="183"/>
      <c r="W111" s="183"/>
      <c r="X111" s="183"/>
      <c r="Y111" s="183"/>
      <c r="Z111" s="183"/>
      <c r="AA111" s="183"/>
      <c r="AB111" s="183"/>
      <c r="AC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</row>
    <row r="112" spans="26:47" ht="12.75">
      <c r="Z112" s="183"/>
      <c r="AA112" s="183"/>
      <c r="AB112" s="183"/>
      <c r="AC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</row>
    <row r="113" spans="27:47" ht="12.75">
      <c r="AA113" s="183"/>
      <c r="AB113" s="183"/>
      <c r="AC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</row>
    <row r="114" spans="27:47" ht="12.75">
      <c r="AA114" s="183"/>
      <c r="AB114" s="183"/>
      <c r="AC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</row>
    <row r="115" spans="27:47" ht="12.75">
      <c r="AA115" s="183"/>
      <c r="AB115" s="183"/>
      <c r="AC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27:47" ht="12.75">
      <c r="AA116" s="183"/>
      <c r="AB116" s="183"/>
      <c r="AC116" s="183"/>
      <c r="AM116" s="183"/>
      <c r="AO116" s="183"/>
      <c r="AP116" s="183"/>
      <c r="AT116" s="183"/>
      <c r="AU116" s="183"/>
    </row>
    <row r="117" spans="27:47" ht="12.75">
      <c r="AA117" s="183"/>
      <c r="AB117" s="183"/>
      <c r="AC117" s="183"/>
      <c r="AO117" s="183"/>
      <c r="AP117" s="183"/>
      <c r="AT117" s="183"/>
      <c r="AU117" s="183"/>
    </row>
    <row r="118" spans="27:47" ht="12.75">
      <c r="AA118" s="183"/>
      <c r="AB118" s="183"/>
      <c r="AC118" s="183"/>
      <c r="AU118" s="183"/>
    </row>
    <row r="119" spans="27:29" ht="12.75">
      <c r="AA119" s="183"/>
      <c r="AB119" s="183"/>
      <c r="AC119" s="183"/>
    </row>
    <row r="120" spans="28:29" ht="12.75">
      <c r="AB120" s="183"/>
      <c r="AC120" s="183"/>
    </row>
    <row r="121" spans="28:29" ht="12.75">
      <c r="AB121" s="183"/>
      <c r="AC121" s="183"/>
    </row>
    <row r="122" spans="28:29" ht="12.75">
      <c r="AB122" s="183"/>
      <c r="AC122" s="183"/>
    </row>
  </sheetData>
  <sheetProtection/>
  <mergeCells count="163">
    <mergeCell ref="AM43:AQ43"/>
    <mergeCell ref="AM35:AQ35"/>
    <mergeCell ref="AM38:AQ38"/>
    <mergeCell ref="AM39:AP39"/>
    <mergeCell ref="AM45:AN45"/>
    <mergeCell ref="AH50:AK50"/>
    <mergeCell ref="AH42:AH43"/>
    <mergeCell ref="AI42:AI43"/>
    <mergeCell ref="AH46:AK46"/>
    <mergeCell ref="AP46:AQ46"/>
    <mergeCell ref="AM15:AU15"/>
    <mergeCell ref="AM17:AU17"/>
    <mergeCell ref="AM19:AN19"/>
    <mergeCell ref="AM20:AN20"/>
    <mergeCell ref="AR9:AR11"/>
    <mergeCell ref="AT9:AT11"/>
    <mergeCell ref="AI63:AJ63"/>
    <mergeCell ref="AE48:AF48"/>
    <mergeCell ref="AE19:AJ19"/>
    <mergeCell ref="AH20:AH21"/>
    <mergeCell ref="AI20:AI21"/>
    <mergeCell ref="AJ20:AJ21"/>
    <mergeCell ref="AH55:AJ55"/>
    <mergeCell ref="AJ42:AJ43"/>
    <mergeCell ref="AM7:AU7"/>
    <mergeCell ref="AM9:AM11"/>
    <mergeCell ref="AO9:AO11"/>
    <mergeCell ref="AP9:AP11"/>
    <mergeCell ref="AQ9:AQ11"/>
    <mergeCell ref="AK42:AK43"/>
    <mergeCell ref="AS9:AS11"/>
    <mergeCell ref="AU9:AU11"/>
    <mergeCell ref="AN10:AN11"/>
    <mergeCell ref="AH41:AK41"/>
    <mergeCell ref="U61:X61"/>
    <mergeCell ref="AE7:AJ7"/>
    <mergeCell ref="AE9:AI9"/>
    <mergeCell ref="AE15:AI15"/>
    <mergeCell ref="AE16:AH16"/>
    <mergeCell ref="U64:V64"/>
    <mergeCell ref="X64:Y64"/>
    <mergeCell ref="U39:Z39"/>
    <mergeCell ref="U44:Z44"/>
    <mergeCell ref="AE27:AI27"/>
    <mergeCell ref="AH47:AJ47"/>
    <mergeCell ref="AE39:AK39"/>
    <mergeCell ref="U37:Z37"/>
    <mergeCell ref="AM24:AQ24"/>
    <mergeCell ref="AM26:AQ26"/>
    <mergeCell ref="AM31:AQ31"/>
    <mergeCell ref="AM32:AP32"/>
    <mergeCell ref="AE35:AH35"/>
    <mergeCell ref="AP45:AR45"/>
    <mergeCell ref="AE41:AF41"/>
    <mergeCell ref="AF20:AF21"/>
    <mergeCell ref="AG20:AG21"/>
    <mergeCell ref="AE26:AJ26"/>
    <mergeCell ref="N63:R63"/>
    <mergeCell ref="N64:O64"/>
    <mergeCell ref="P40:R40"/>
    <mergeCell ref="P41:R41"/>
    <mergeCell ref="P53:R53"/>
    <mergeCell ref="P54:R54"/>
    <mergeCell ref="AE54:AF54"/>
    <mergeCell ref="U47:Z47"/>
    <mergeCell ref="U51:Z51"/>
    <mergeCell ref="U55:Y55"/>
    <mergeCell ref="U60:Y60"/>
    <mergeCell ref="P48:R48"/>
    <mergeCell ref="P49:R49"/>
    <mergeCell ref="P50:R50"/>
    <mergeCell ref="P52:R52"/>
    <mergeCell ref="N58:R58"/>
    <mergeCell ref="N59:O59"/>
    <mergeCell ref="U19:AA19"/>
    <mergeCell ref="U20:Z20"/>
    <mergeCell ref="U23:Y23"/>
    <mergeCell ref="U30:Y30"/>
    <mergeCell ref="U31:U33"/>
    <mergeCell ref="V31:W31"/>
    <mergeCell ref="X31:Y31"/>
    <mergeCell ref="N20:R21"/>
    <mergeCell ref="P42:R42"/>
    <mergeCell ref="AE30:AI30"/>
    <mergeCell ref="AE34:AI34"/>
    <mergeCell ref="V12:W12"/>
    <mergeCell ref="V13:W13"/>
    <mergeCell ref="V14:W14"/>
    <mergeCell ref="V15:W15"/>
    <mergeCell ref="V16:W16"/>
    <mergeCell ref="V17:W17"/>
    <mergeCell ref="V18:W18"/>
    <mergeCell ref="AE20:AE21"/>
    <mergeCell ref="F12:J12"/>
    <mergeCell ref="C7:R7"/>
    <mergeCell ref="U7:AA7"/>
    <mergeCell ref="U9:AA9"/>
    <mergeCell ref="U10:U11"/>
    <mergeCell ref="V10:W11"/>
    <mergeCell ref="X10:X11"/>
    <mergeCell ref="Y10:Y11"/>
    <mergeCell ref="Z10:Z11"/>
    <mergeCell ref="AA10:AA11"/>
    <mergeCell ref="P44:R44"/>
    <mergeCell ref="P45:R45"/>
    <mergeCell ref="C2:H3"/>
    <mergeCell ref="C17:R17"/>
    <mergeCell ref="L9:O9"/>
    <mergeCell ref="L13:O13"/>
    <mergeCell ref="C4:R4"/>
    <mergeCell ref="C19:R19"/>
    <mergeCell ref="L14:N14"/>
    <mergeCell ref="F11:G11"/>
    <mergeCell ref="I54:K54"/>
    <mergeCell ref="G55:G56"/>
    <mergeCell ref="C20:M20"/>
    <mergeCell ref="P36:R36"/>
    <mergeCell ref="P37:R37"/>
    <mergeCell ref="C47:G48"/>
    <mergeCell ref="C49:G49"/>
    <mergeCell ref="C34:M34"/>
    <mergeCell ref="C21:I21"/>
    <mergeCell ref="J21:M21"/>
    <mergeCell ref="F54:F56"/>
    <mergeCell ref="C68:K68"/>
    <mergeCell ref="C57:K57"/>
    <mergeCell ref="C62:K62"/>
    <mergeCell ref="C53:E56"/>
    <mergeCell ref="C58:E58"/>
    <mergeCell ref="H55:H56"/>
    <mergeCell ref="I55:I56"/>
    <mergeCell ref="J55:J56"/>
    <mergeCell ref="K55:K56"/>
    <mergeCell ref="F9:J9"/>
    <mergeCell ref="F10:G10"/>
    <mergeCell ref="C52:K52"/>
    <mergeCell ref="C31:M31"/>
    <mergeCell ref="O34:R34"/>
    <mergeCell ref="P46:R46"/>
    <mergeCell ref="P38:R38"/>
    <mergeCell ref="G35:M35"/>
    <mergeCell ref="C45:F45"/>
    <mergeCell ref="C35:F35"/>
    <mergeCell ref="AE67:AF67"/>
    <mergeCell ref="C59:E59"/>
    <mergeCell ref="AP52:AQ52"/>
    <mergeCell ref="AM50:AN50"/>
    <mergeCell ref="C63:E63"/>
    <mergeCell ref="C64:E64"/>
    <mergeCell ref="C65:E65"/>
    <mergeCell ref="AM56:AN56"/>
    <mergeCell ref="AM58:AN58"/>
    <mergeCell ref="F53:K53"/>
    <mergeCell ref="AP47:AQ47"/>
    <mergeCell ref="AP50:AR50"/>
    <mergeCell ref="AP51:AQ51"/>
    <mergeCell ref="C67:E67"/>
    <mergeCell ref="C60:E60"/>
    <mergeCell ref="N65:O65"/>
    <mergeCell ref="U57:Y57"/>
    <mergeCell ref="N60:O60"/>
    <mergeCell ref="AH61:AK61"/>
    <mergeCell ref="AE62:AF6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D4:P102"/>
  <sheetViews>
    <sheetView view="pageBreakPreview" zoomScaleNormal="145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11.00390625" style="0" bestFit="1" customWidth="1"/>
    <col min="14" max="14" width="10.28125" style="0" customWidth="1"/>
  </cols>
  <sheetData>
    <row r="4" spans="4:13" ht="15" customHeight="1">
      <c r="D4" s="391" t="s">
        <v>72</v>
      </c>
      <c r="E4" s="391"/>
      <c r="F4" s="391"/>
      <c r="G4" s="391"/>
      <c r="H4" s="391"/>
      <c r="I4" s="391"/>
      <c r="J4" s="391"/>
      <c r="K4" s="391"/>
      <c r="L4" s="391"/>
      <c r="M4" s="391"/>
    </row>
    <row r="5" ht="15" customHeight="1"/>
    <row r="6" spans="9:16" ht="15" customHeight="1">
      <c r="I6" s="1"/>
      <c r="J6" s="1"/>
      <c r="N6" s="64"/>
      <c r="O6" s="64"/>
      <c r="P6" s="64"/>
    </row>
    <row r="7" spans="4:16" ht="15" customHeight="1">
      <c r="D7" s="392" t="s">
        <v>295</v>
      </c>
      <c r="E7" s="393"/>
      <c r="F7" s="393"/>
      <c r="G7" s="394"/>
      <c r="I7" s="51"/>
      <c r="J7" s="106"/>
      <c r="P7" s="102"/>
    </row>
    <row r="8" spans="4:10" ht="15" customHeight="1">
      <c r="D8" s="136" t="s">
        <v>296</v>
      </c>
      <c r="E8" s="137"/>
      <c r="F8" s="137"/>
      <c r="G8" s="245"/>
      <c r="I8" s="51"/>
      <c r="J8" s="106"/>
    </row>
    <row r="9" spans="4:10" ht="15" customHeight="1">
      <c r="D9" s="138"/>
      <c r="E9" s="139" t="s">
        <v>331</v>
      </c>
      <c r="F9" s="139"/>
      <c r="G9" s="246"/>
      <c r="I9" s="51"/>
      <c r="J9" s="106"/>
    </row>
    <row r="10" spans="4:7" ht="15" customHeight="1">
      <c r="D10" s="138"/>
      <c r="E10" s="139" t="s">
        <v>299</v>
      </c>
      <c r="F10" s="139"/>
      <c r="G10" s="246" t="s">
        <v>260</v>
      </c>
    </row>
    <row r="11" spans="4:13" ht="15" customHeight="1">
      <c r="D11" s="138"/>
      <c r="E11" s="139" t="s">
        <v>298</v>
      </c>
      <c r="F11" s="139"/>
      <c r="G11" s="246"/>
      <c r="I11" s="390" t="s">
        <v>338</v>
      </c>
      <c r="J11" s="390"/>
      <c r="K11" s="390"/>
      <c r="L11" s="390"/>
      <c r="M11" s="390"/>
    </row>
    <row r="12" spans="4:13" ht="15" customHeight="1">
      <c r="D12" s="138"/>
      <c r="E12" s="139" t="s">
        <v>299</v>
      </c>
      <c r="F12" s="139"/>
      <c r="G12" s="246" t="s">
        <v>222</v>
      </c>
      <c r="I12" s="375" t="s">
        <v>15</v>
      </c>
      <c r="J12" s="375" t="s">
        <v>16</v>
      </c>
      <c r="K12" s="375" t="s">
        <v>17</v>
      </c>
      <c r="L12" s="375" t="s">
        <v>18</v>
      </c>
      <c r="M12" s="375" t="s">
        <v>19</v>
      </c>
    </row>
    <row r="13" spans="4:13" ht="15" customHeight="1">
      <c r="D13" s="138"/>
      <c r="E13" s="139" t="s">
        <v>300</v>
      </c>
      <c r="F13" s="139"/>
      <c r="G13" s="246"/>
      <c r="I13" s="375"/>
      <c r="J13" s="375"/>
      <c r="K13" s="375"/>
      <c r="L13" s="375"/>
      <c r="M13" s="375"/>
    </row>
    <row r="14" spans="4:13" ht="15" customHeight="1">
      <c r="D14" s="138"/>
      <c r="E14" s="139" t="s">
        <v>297</v>
      </c>
      <c r="F14" s="139"/>
      <c r="G14" s="246" t="s">
        <v>222</v>
      </c>
      <c r="I14" s="150">
        <v>50</v>
      </c>
      <c r="J14" s="67">
        <f>7.45+0.79+9.87+1.86</f>
        <v>19.97</v>
      </c>
      <c r="K14" s="68">
        <v>0.3</v>
      </c>
      <c r="L14" s="55">
        <v>0.5</v>
      </c>
      <c r="M14" s="172">
        <f>J14*K14*L14</f>
        <v>2.9955</v>
      </c>
    </row>
    <row r="15" spans="4:13" ht="15" customHeight="1">
      <c r="D15" s="138"/>
      <c r="E15" s="139" t="s">
        <v>301</v>
      </c>
      <c r="F15" s="139"/>
      <c r="G15" s="246"/>
      <c r="I15" s="150">
        <v>75</v>
      </c>
      <c r="J15" s="67">
        <f>14+33.82+8.52+1.23+13.57</f>
        <v>71.14</v>
      </c>
      <c r="K15" s="68">
        <v>0.3</v>
      </c>
      <c r="L15" s="55">
        <v>0.5</v>
      </c>
      <c r="M15" s="172">
        <f>J15*K15*L15</f>
        <v>10.671</v>
      </c>
    </row>
    <row r="16" spans="4:13" ht="15" customHeight="1">
      <c r="D16" s="138"/>
      <c r="E16" s="139" t="s">
        <v>302</v>
      </c>
      <c r="F16" s="139"/>
      <c r="G16" s="246" t="s">
        <v>222</v>
      </c>
      <c r="I16" s="66"/>
      <c r="J16" s="118"/>
      <c r="K16" s="118"/>
      <c r="L16" s="118"/>
      <c r="M16" s="118"/>
    </row>
    <row r="17" spans="4:13" ht="15" customHeight="1">
      <c r="D17" s="136" t="s">
        <v>303</v>
      </c>
      <c r="E17" s="137"/>
      <c r="F17" s="137"/>
      <c r="G17" s="245"/>
      <c r="I17" s="66"/>
      <c r="J17" s="263" t="s">
        <v>21</v>
      </c>
      <c r="K17" s="263"/>
      <c r="L17" s="263"/>
      <c r="M17" s="175">
        <f>ROUND(SUM(M14:M15),2)</f>
        <v>13.67</v>
      </c>
    </row>
    <row r="18" spans="4:7" ht="15" customHeight="1">
      <c r="D18" s="138"/>
      <c r="E18" s="139" t="s">
        <v>304</v>
      </c>
      <c r="F18" s="139"/>
      <c r="G18" s="246"/>
    </row>
    <row r="19" spans="4:7" ht="15" customHeight="1">
      <c r="D19" s="138"/>
      <c r="E19" s="139" t="s">
        <v>305</v>
      </c>
      <c r="F19" s="139"/>
      <c r="G19" s="246" t="s">
        <v>222</v>
      </c>
    </row>
    <row r="20" spans="4:7" ht="15" customHeight="1">
      <c r="D20" s="138"/>
      <c r="E20" s="139" t="s">
        <v>306</v>
      </c>
      <c r="F20" s="139"/>
      <c r="G20" s="246" t="s">
        <v>258</v>
      </c>
    </row>
    <row r="21" spans="4:13" ht="15" customHeight="1">
      <c r="D21" s="138"/>
      <c r="E21" s="139" t="s">
        <v>307</v>
      </c>
      <c r="F21" s="139"/>
      <c r="G21" s="246"/>
      <c r="I21" s="390" t="s">
        <v>339</v>
      </c>
      <c r="J21" s="390"/>
      <c r="K21" s="390"/>
      <c r="L21" s="390"/>
      <c r="M21" s="390"/>
    </row>
    <row r="22" spans="4:13" ht="15" customHeight="1">
      <c r="D22" s="138"/>
      <c r="E22" s="139" t="s">
        <v>305</v>
      </c>
      <c r="F22" s="139"/>
      <c r="G22" s="246" t="s">
        <v>222</v>
      </c>
      <c r="I22" s="375" t="s">
        <v>16</v>
      </c>
      <c r="J22" s="375" t="s">
        <v>11</v>
      </c>
      <c r="K22" s="375" t="s">
        <v>20</v>
      </c>
      <c r="L22" s="375" t="s">
        <v>24</v>
      </c>
      <c r="M22" s="375" t="s">
        <v>22</v>
      </c>
    </row>
    <row r="23" spans="4:13" ht="15" customHeight="1">
      <c r="D23" s="136" t="s">
        <v>218</v>
      </c>
      <c r="E23" s="137"/>
      <c r="F23" s="137"/>
      <c r="G23" s="245"/>
      <c r="I23" s="375"/>
      <c r="J23" s="375"/>
      <c r="K23" s="375"/>
      <c r="L23" s="375"/>
      <c r="M23" s="375"/>
    </row>
    <row r="24" spans="4:13" ht="15" customHeight="1">
      <c r="D24" s="138"/>
      <c r="E24" s="139" t="s">
        <v>308</v>
      </c>
      <c r="F24" s="139"/>
      <c r="G24" s="246"/>
      <c r="I24" s="55">
        <f>J14</f>
        <v>19.97</v>
      </c>
      <c r="J24" s="69">
        <f>PI()</f>
        <v>3.141592653589793</v>
      </c>
      <c r="K24" s="70">
        <f>(I14/2)/1000</f>
        <v>0.025</v>
      </c>
      <c r="L24" s="69">
        <f>J24*K24^2*I24</f>
        <v>0.039211003307617606</v>
      </c>
      <c r="M24" s="173">
        <f>M14-L24</f>
        <v>2.956288996692382</v>
      </c>
    </row>
    <row r="25" spans="4:13" ht="15" customHeight="1">
      <c r="D25" s="138"/>
      <c r="E25" s="139" t="s">
        <v>305</v>
      </c>
      <c r="F25" s="139"/>
      <c r="G25" s="246" t="s">
        <v>222</v>
      </c>
      <c r="I25" s="55">
        <f>J15</f>
        <v>71.14</v>
      </c>
      <c r="J25" s="69">
        <f>PI()</f>
        <v>3.141592653589793</v>
      </c>
      <c r="K25" s="70">
        <f>(I15/2)/1000</f>
        <v>0.0375</v>
      </c>
      <c r="L25" s="69">
        <f>J25*K25^2*I25</f>
        <v>0.31428689256053144</v>
      </c>
      <c r="M25" s="173">
        <f>M15-L25</f>
        <v>10.356713107439468</v>
      </c>
    </row>
    <row r="26" spans="4:13" ht="15" customHeight="1">
      <c r="D26" s="138"/>
      <c r="E26" s="139" t="s">
        <v>309</v>
      </c>
      <c r="F26" s="139"/>
      <c r="G26" s="246"/>
      <c r="I26" s="118"/>
      <c r="J26" s="118"/>
      <c r="K26" s="118"/>
      <c r="L26" s="118"/>
      <c r="M26" s="118"/>
    </row>
    <row r="27" spans="4:13" ht="15" customHeight="1">
      <c r="D27" s="138"/>
      <c r="E27" s="139" t="s">
        <v>310</v>
      </c>
      <c r="F27" s="139"/>
      <c r="G27" s="246" t="s">
        <v>258</v>
      </c>
      <c r="I27" s="66"/>
      <c r="J27" s="263" t="s">
        <v>23</v>
      </c>
      <c r="K27" s="263"/>
      <c r="L27" s="263"/>
      <c r="M27" s="174">
        <f>ROUND(SUM(M24:M25),2)</f>
        <v>13.31</v>
      </c>
    </row>
    <row r="28" spans="4:7" ht="15" customHeight="1">
      <c r="D28" s="138"/>
      <c r="E28" s="139" t="s">
        <v>311</v>
      </c>
      <c r="F28" s="139"/>
      <c r="G28" s="246"/>
    </row>
    <row r="29" spans="4:7" ht="15" customHeight="1">
      <c r="D29" s="138"/>
      <c r="E29" s="139" t="s">
        <v>312</v>
      </c>
      <c r="F29" s="139"/>
      <c r="G29" s="246" t="s">
        <v>222</v>
      </c>
    </row>
    <row r="30" spans="4:7" ht="15" customHeight="1">
      <c r="D30" s="138"/>
      <c r="E30" s="139" t="s">
        <v>313</v>
      </c>
      <c r="F30" s="139"/>
      <c r="G30" s="246"/>
    </row>
    <row r="31" spans="4:7" ht="15" customHeight="1">
      <c r="D31" s="138"/>
      <c r="E31" s="139" t="s">
        <v>312</v>
      </c>
      <c r="F31" s="139"/>
      <c r="G31" s="246" t="s">
        <v>222</v>
      </c>
    </row>
    <row r="32" spans="4:7" ht="15" customHeight="1">
      <c r="D32" s="136" t="s">
        <v>314</v>
      </c>
      <c r="E32" s="137"/>
      <c r="F32" s="137"/>
      <c r="G32" s="245"/>
    </row>
    <row r="33" spans="4:7" ht="15" customHeight="1">
      <c r="D33" s="138"/>
      <c r="E33" s="139" t="s">
        <v>315</v>
      </c>
      <c r="F33" s="139"/>
      <c r="G33" s="246"/>
    </row>
    <row r="34" spans="4:7" ht="15" customHeight="1">
      <c r="D34" s="138"/>
      <c r="E34" s="139" t="s">
        <v>317</v>
      </c>
      <c r="F34" s="139"/>
      <c r="G34" s="246" t="s">
        <v>222</v>
      </c>
    </row>
    <row r="35" spans="4:7" ht="15" customHeight="1">
      <c r="D35" s="138"/>
      <c r="E35" s="139" t="s">
        <v>332</v>
      </c>
      <c r="F35" s="139"/>
      <c r="G35" s="246" t="s">
        <v>222</v>
      </c>
    </row>
    <row r="36" spans="4:7" ht="15" customHeight="1">
      <c r="D36" s="138"/>
      <c r="E36" s="139" t="s">
        <v>333</v>
      </c>
      <c r="F36" s="139"/>
      <c r="G36" s="246" t="s">
        <v>222</v>
      </c>
    </row>
    <row r="37" spans="4:7" ht="15" customHeight="1">
      <c r="D37" s="138"/>
      <c r="E37" s="139" t="s">
        <v>316</v>
      </c>
      <c r="F37" s="139"/>
      <c r="G37" s="246"/>
    </row>
    <row r="38" spans="4:7" ht="15" customHeight="1">
      <c r="D38" s="138"/>
      <c r="E38" s="139" t="s">
        <v>317</v>
      </c>
      <c r="F38" s="139"/>
      <c r="G38" s="246" t="s">
        <v>265</v>
      </c>
    </row>
    <row r="39" spans="4:7" ht="15" customHeight="1">
      <c r="D39" s="138"/>
      <c r="E39" s="139" t="s">
        <v>318</v>
      </c>
      <c r="F39" s="139"/>
      <c r="G39" s="246" t="s">
        <v>260</v>
      </c>
    </row>
    <row r="40" spans="4:7" ht="15" customHeight="1">
      <c r="D40" s="138"/>
      <c r="E40" s="139" t="s">
        <v>319</v>
      </c>
      <c r="F40" s="139"/>
      <c r="G40" s="246"/>
    </row>
    <row r="41" spans="4:7" ht="15" customHeight="1">
      <c r="D41" s="138"/>
      <c r="E41" s="139" t="s">
        <v>320</v>
      </c>
      <c r="F41" s="139"/>
      <c r="G41" s="246" t="s">
        <v>222</v>
      </c>
    </row>
    <row r="42" spans="4:7" ht="15" customHeight="1">
      <c r="D42" s="138"/>
      <c r="E42" s="139" t="s">
        <v>520</v>
      </c>
      <c r="F42" s="139"/>
      <c r="G42" s="246" t="s">
        <v>286</v>
      </c>
    </row>
    <row r="43" spans="4:7" ht="15" customHeight="1">
      <c r="D43" s="138"/>
      <c r="E43" s="139" t="s">
        <v>334</v>
      </c>
      <c r="F43" s="139"/>
      <c r="G43" s="246"/>
    </row>
    <row r="44" spans="4:7" ht="15" customHeight="1">
      <c r="D44" s="138"/>
      <c r="E44" s="139" t="s">
        <v>321</v>
      </c>
      <c r="F44" s="139"/>
      <c r="G44" s="246" t="s">
        <v>278</v>
      </c>
    </row>
    <row r="45" spans="4:7" ht="15" customHeight="1">
      <c r="D45" s="138"/>
      <c r="E45" s="139" t="s">
        <v>335</v>
      </c>
      <c r="F45" s="139"/>
      <c r="G45" s="246" t="s">
        <v>222</v>
      </c>
    </row>
    <row r="46" spans="4:8" ht="15" customHeight="1">
      <c r="D46" s="138"/>
      <c r="E46" s="139" t="s">
        <v>283</v>
      </c>
      <c r="F46" s="139"/>
      <c r="G46" s="246" t="s">
        <v>222</v>
      </c>
      <c r="H46" s="64"/>
    </row>
    <row r="47" spans="4:8" ht="15" customHeight="1">
      <c r="D47" s="138"/>
      <c r="E47" s="139" t="s">
        <v>519</v>
      </c>
      <c r="F47" s="139"/>
      <c r="G47" s="246" t="s">
        <v>260</v>
      </c>
      <c r="H47" s="64"/>
    </row>
    <row r="48" spans="4:7" ht="15" customHeight="1">
      <c r="D48" s="138"/>
      <c r="E48" s="139" t="s">
        <v>336</v>
      </c>
      <c r="F48" s="139"/>
      <c r="G48" s="246"/>
    </row>
    <row r="49" spans="4:7" ht="15" customHeight="1">
      <c r="D49" s="138"/>
      <c r="E49" s="139" t="s">
        <v>337</v>
      </c>
      <c r="F49" s="139"/>
      <c r="G49" s="246" t="s">
        <v>222</v>
      </c>
    </row>
    <row r="50" spans="4:13" ht="15" customHeight="1">
      <c r="D50" s="138"/>
      <c r="E50" s="139" t="s">
        <v>322</v>
      </c>
      <c r="F50" s="139"/>
      <c r="G50" s="246"/>
      <c r="I50" s="142"/>
      <c r="J50" s="142"/>
      <c r="K50" s="142"/>
      <c r="L50" s="142"/>
      <c r="M50" s="142"/>
    </row>
    <row r="51" spans="4:13" ht="15" customHeight="1">
      <c r="D51" s="138"/>
      <c r="E51" s="139" t="s">
        <v>321</v>
      </c>
      <c r="F51" s="139"/>
      <c r="G51" s="246" t="s">
        <v>517</v>
      </c>
      <c r="I51" s="142"/>
      <c r="J51" s="142"/>
      <c r="K51" s="142"/>
      <c r="L51" s="142"/>
      <c r="M51" s="142"/>
    </row>
    <row r="52" spans="4:13" ht="15" customHeight="1">
      <c r="D52" s="138"/>
      <c r="E52" s="139" t="s">
        <v>335</v>
      </c>
      <c r="F52" s="139"/>
      <c r="G52" s="246" t="s">
        <v>518</v>
      </c>
      <c r="I52" s="142"/>
      <c r="J52" s="142"/>
      <c r="K52" s="142"/>
      <c r="L52" s="142"/>
      <c r="M52" s="142"/>
    </row>
    <row r="53" spans="4:13" ht="15" customHeight="1">
      <c r="D53" s="138"/>
      <c r="E53" s="139" t="s">
        <v>283</v>
      </c>
      <c r="F53" s="139"/>
      <c r="G53" s="246" t="s">
        <v>521</v>
      </c>
      <c r="I53" s="142"/>
      <c r="J53" s="142"/>
      <c r="K53" s="142"/>
      <c r="L53" s="142"/>
      <c r="M53" s="142"/>
    </row>
    <row r="54" spans="4:13" ht="15" customHeight="1">
      <c r="D54" s="138"/>
      <c r="E54" s="139" t="s">
        <v>519</v>
      </c>
      <c r="F54" s="139"/>
      <c r="G54" s="246" t="s">
        <v>522</v>
      </c>
      <c r="I54" s="142"/>
      <c r="J54" s="142"/>
      <c r="K54" s="142"/>
      <c r="L54" s="142"/>
      <c r="M54" s="142"/>
    </row>
    <row r="55" spans="4:13" ht="15" customHeight="1">
      <c r="D55" s="138"/>
      <c r="E55" s="139" t="s">
        <v>323</v>
      </c>
      <c r="F55" s="139"/>
      <c r="G55" s="246"/>
      <c r="I55" s="142"/>
      <c r="J55" s="142"/>
      <c r="K55" s="142"/>
      <c r="L55" s="142"/>
      <c r="M55" s="142"/>
    </row>
    <row r="56" spans="4:13" ht="15" customHeight="1">
      <c r="D56" s="138"/>
      <c r="E56" s="139" t="s">
        <v>321</v>
      </c>
      <c r="F56" s="139"/>
      <c r="G56" s="246" t="s">
        <v>222</v>
      </c>
      <c r="I56" s="142"/>
      <c r="J56" s="142"/>
      <c r="K56" s="142"/>
      <c r="L56" s="142"/>
      <c r="M56" s="142"/>
    </row>
    <row r="57" spans="4:13" ht="15" customHeight="1">
      <c r="D57" s="138"/>
      <c r="E57" s="139" t="s">
        <v>283</v>
      </c>
      <c r="F57" s="139"/>
      <c r="G57" s="246" t="s">
        <v>222</v>
      </c>
      <c r="I57" s="142"/>
      <c r="J57" s="142"/>
      <c r="K57" s="142"/>
      <c r="L57" s="142"/>
      <c r="M57" s="142"/>
    </row>
    <row r="58" spans="4:13" ht="15" customHeight="1">
      <c r="D58" s="138"/>
      <c r="E58" s="139" t="s">
        <v>519</v>
      </c>
      <c r="F58" s="139"/>
      <c r="G58" s="246" t="s">
        <v>222</v>
      </c>
      <c r="I58" s="142"/>
      <c r="J58" s="142"/>
      <c r="K58" s="142"/>
      <c r="L58" s="142"/>
      <c r="M58" s="142"/>
    </row>
    <row r="59" spans="4:13" ht="15" customHeight="1">
      <c r="D59" s="138"/>
      <c r="E59" s="139" t="s">
        <v>324</v>
      </c>
      <c r="F59" s="139"/>
      <c r="G59" s="246"/>
      <c r="H59" s="17"/>
      <c r="I59" s="142"/>
      <c r="J59" s="142"/>
      <c r="K59" s="142"/>
      <c r="L59" s="142"/>
      <c r="M59" s="142"/>
    </row>
    <row r="60" spans="4:13" ht="15" customHeight="1">
      <c r="D60" s="138"/>
      <c r="E60" s="139" t="s">
        <v>320</v>
      </c>
      <c r="F60" s="139"/>
      <c r="G60" s="246" t="s">
        <v>222</v>
      </c>
      <c r="H60" s="17"/>
      <c r="I60" s="142"/>
      <c r="J60" s="142"/>
      <c r="K60" s="142"/>
      <c r="L60" s="142"/>
      <c r="M60" s="142"/>
    </row>
    <row r="61" spans="4:13" ht="15" customHeight="1">
      <c r="D61" s="138"/>
      <c r="E61" s="139" t="s">
        <v>520</v>
      </c>
      <c r="F61" s="139"/>
      <c r="G61" s="246" t="s">
        <v>222</v>
      </c>
      <c r="H61" s="17"/>
      <c r="I61" s="142"/>
      <c r="J61" s="142"/>
      <c r="K61" s="142"/>
      <c r="L61" s="142"/>
      <c r="M61" s="142"/>
    </row>
    <row r="62" spans="4:13" ht="15" customHeight="1">
      <c r="D62" s="136" t="s">
        <v>325</v>
      </c>
      <c r="E62" s="137"/>
      <c r="F62" s="137"/>
      <c r="G62" s="245"/>
      <c r="H62" s="87"/>
      <c r="I62" s="142"/>
      <c r="J62" s="142"/>
      <c r="K62" s="142"/>
      <c r="L62" s="142"/>
      <c r="M62" s="142"/>
    </row>
    <row r="63" spans="4:13" ht="15" customHeight="1">
      <c r="D63" s="138"/>
      <c r="E63" s="139" t="s">
        <v>326</v>
      </c>
      <c r="F63" s="139"/>
      <c r="G63" s="246"/>
      <c r="H63" s="17"/>
      <c r="I63" s="142"/>
      <c r="J63" s="142"/>
      <c r="K63" s="142"/>
      <c r="L63" s="142"/>
      <c r="M63" s="142"/>
    </row>
    <row r="64" spans="4:13" ht="15" customHeight="1">
      <c r="D64" s="138"/>
      <c r="E64" s="139" t="s">
        <v>317</v>
      </c>
      <c r="F64" s="139"/>
      <c r="G64" s="246" t="s">
        <v>258</v>
      </c>
      <c r="H64" s="17"/>
      <c r="I64" s="142"/>
      <c r="J64" s="142"/>
      <c r="K64" s="142"/>
      <c r="L64" s="142"/>
      <c r="M64" s="142"/>
    </row>
    <row r="65" spans="4:13" ht="15" customHeight="1">
      <c r="D65" s="138"/>
      <c r="E65" s="139" t="s">
        <v>327</v>
      </c>
      <c r="F65" s="139"/>
      <c r="G65" s="246"/>
      <c r="H65" s="17"/>
      <c r="I65" s="142"/>
      <c r="J65" s="142"/>
      <c r="K65" s="142"/>
      <c r="L65" s="142"/>
      <c r="M65" s="142"/>
    </row>
    <row r="66" spans="4:13" ht="15" customHeight="1">
      <c r="D66" s="140"/>
      <c r="E66" s="141" t="s">
        <v>328</v>
      </c>
      <c r="F66" s="141"/>
      <c r="G66" s="247" t="s">
        <v>222</v>
      </c>
      <c r="I66" s="142"/>
      <c r="J66" s="142"/>
      <c r="K66" s="142"/>
      <c r="L66" s="142"/>
      <c r="M66" s="142"/>
    </row>
    <row r="67" spans="9:13" ht="15" customHeight="1">
      <c r="I67" s="142"/>
      <c r="J67" s="142"/>
      <c r="K67" s="142"/>
      <c r="L67" s="142"/>
      <c r="M67" s="142"/>
    </row>
    <row r="68" spans="9:13" ht="15" customHeight="1">
      <c r="I68" s="142"/>
      <c r="J68" s="142"/>
      <c r="K68" s="142"/>
      <c r="L68" s="142"/>
      <c r="M68" s="142"/>
    </row>
    <row r="69" spans="8:14" ht="15" customHeight="1">
      <c r="H69" s="142"/>
      <c r="I69" s="142"/>
      <c r="J69" s="142"/>
      <c r="K69" s="142"/>
      <c r="L69" s="142"/>
      <c r="M69" s="142"/>
      <c r="N69" s="142"/>
    </row>
    <row r="70" spans="8:14" ht="15" customHeight="1">
      <c r="H70" s="142"/>
      <c r="I70" s="142"/>
      <c r="J70" s="142"/>
      <c r="K70" s="142"/>
      <c r="L70" s="142"/>
      <c r="M70" s="142"/>
      <c r="N70" s="142"/>
    </row>
    <row r="71" spans="8:14" ht="15" customHeight="1">
      <c r="H71" s="142"/>
      <c r="I71" s="142"/>
      <c r="J71" s="142"/>
      <c r="K71" s="142"/>
      <c r="L71" s="142"/>
      <c r="M71" s="142"/>
      <c r="N71" s="142"/>
    </row>
    <row r="72" spans="8:14" ht="15" customHeight="1">
      <c r="H72" s="142"/>
      <c r="I72" s="142"/>
      <c r="J72" s="142"/>
      <c r="K72" s="142"/>
      <c r="L72" s="142"/>
      <c r="M72" s="142"/>
      <c r="N72" s="142"/>
    </row>
    <row r="73" spans="8:14" ht="15" customHeight="1">
      <c r="H73" s="142"/>
      <c r="I73" s="142"/>
      <c r="J73" s="142"/>
      <c r="K73" s="142"/>
      <c r="L73" s="142"/>
      <c r="M73" s="142"/>
      <c r="N73" s="142"/>
    </row>
    <row r="74" spans="8:14" ht="15" customHeight="1">
      <c r="H74" s="142"/>
      <c r="N74" s="142"/>
    </row>
    <row r="75" spans="8:14" ht="15" customHeight="1">
      <c r="H75" s="142"/>
      <c r="N75" s="142"/>
    </row>
    <row r="76" spans="8:14" ht="15" customHeight="1">
      <c r="H76" s="142"/>
      <c r="N76" s="142"/>
    </row>
    <row r="77" spans="8:14" ht="15" customHeight="1">
      <c r="H77" s="142"/>
      <c r="N77" s="142"/>
    </row>
    <row r="78" spans="8:14" ht="15" customHeight="1">
      <c r="H78" s="142"/>
      <c r="N78" s="142"/>
    </row>
    <row r="79" spans="8:14" ht="15" customHeight="1">
      <c r="H79" s="142"/>
      <c r="I79" s="135"/>
      <c r="J79" s="135"/>
      <c r="K79" s="135"/>
      <c r="L79" s="135"/>
      <c r="M79" s="135"/>
      <c r="N79" s="142"/>
    </row>
    <row r="80" spans="8:14" ht="15" customHeight="1">
      <c r="H80" s="142"/>
      <c r="I80" s="135"/>
      <c r="J80" s="135"/>
      <c r="K80" s="135"/>
      <c r="L80" s="135"/>
      <c r="M80" s="135"/>
      <c r="N80" s="142"/>
    </row>
    <row r="81" spans="8:14" ht="15" customHeight="1">
      <c r="H81" s="142"/>
      <c r="I81" s="135"/>
      <c r="J81" s="135"/>
      <c r="K81" s="135"/>
      <c r="L81" s="135"/>
      <c r="M81" s="135"/>
      <c r="N81" s="142"/>
    </row>
    <row r="82" spans="8:14" ht="15" customHeight="1">
      <c r="H82" s="142"/>
      <c r="I82" s="135"/>
      <c r="J82" s="135"/>
      <c r="K82" s="135"/>
      <c r="L82" s="135"/>
      <c r="M82" s="135"/>
      <c r="N82" s="142"/>
    </row>
    <row r="83" spans="8:14" ht="15" customHeight="1">
      <c r="H83" s="142"/>
      <c r="I83" s="135"/>
      <c r="J83" s="135"/>
      <c r="K83" s="135"/>
      <c r="L83" s="135"/>
      <c r="M83" s="135"/>
      <c r="N83" s="142"/>
    </row>
    <row r="84" spans="8:14" ht="15" customHeight="1">
      <c r="H84" s="142"/>
      <c r="I84" s="64"/>
      <c r="J84" s="64"/>
      <c r="K84" s="64"/>
      <c r="L84" s="64"/>
      <c r="M84" s="64"/>
      <c r="N84" s="142"/>
    </row>
    <row r="85" spans="8:14" ht="15" customHeight="1">
      <c r="H85" s="142"/>
      <c r="N85" s="142"/>
    </row>
    <row r="86" spans="8:14" ht="15" customHeight="1">
      <c r="H86" s="142"/>
      <c r="N86" s="142"/>
    </row>
    <row r="87" spans="8:14" ht="15" customHeight="1">
      <c r="H87" s="142"/>
      <c r="I87" s="381" t="s">
        <v>293</v>
      </c>
      <c r="J87" s="382"/>
      <c r="K87" s="382"/>
      <c r="L87" s="382"/>
      <c r="M87" s="383"/>
      <c r="N87" s="142"/>
    </row>
    <row r="88" spans="8:14" ht="15" customHeight="1">
      <c r="H88" s="142"/>
      <c r="I88" s="384"/>
      <c r="J88" s="385"/>
      <c r="K88" s="385"/>
      <c r="L88" s="385"/>
      <c r="M88" s="386"/>
      <c r="N88" s="142"/>
    </row>
    <row r="89" spans="8:14" ht="15" customHeight="1">
      <c r="H89" s="142"/>
      <c r="I89" s="376" t="s">
        <v>15</v>
      </c>
      <c r="J89" s="378" t="s">
        <v>16</v>
      </c>
      <c r="K89" s="378" t="s">
        <v>17</v>
      </c>
      <c r="L89" s="378" t="s">
        <v>18</v>
      </c>
      <c r="M89" s="379" t="s">
        <v>19</v>
      </c>
      <c r="N89" s="142"/>
    </row>
    <row r="90" spans="9:13" ht="15" customHeight="1">
      <c r="I90" s="377"/>
      <c r="J90" s="375"/>
      <c r="K90" s="375"/>
      <c r="L90" s="375"/>
      <c r="M90" s="380"/>
    </row>
    <row r="91" spans="9:13" ht="15" customHeight="1">
      <c r="I91" s="93">
        <v>100</v>
      </c>
      <c r="J91" s="134">
        <v>119.5</v>
      </c>
      <c r="K91" s="94">
        <v>0.3</v>
      </c>
      <c r="L91" s="95">
        <v>0.5</v>
      </c>
      <c r="M91" s="96">
        <f>J91*K91*L91</f>
        <v>17.925</v>
      </c>
    </row>
    <row r="92" ht="15" customHeight="1"/>
    <row r="93" spans="10:13" ht="15" customHeight="1">
      <c r="J93" s="387" t="s">
        <v>21</v>
      </c>
      <c r="K93" s="388"/>
      <c r="L93" s="389"/>
      <c r="M93" s="97">
        <f>ROUND(SUM(M91:M91),2)</f>
        <v>17.93</v>
      </c>
    </row>
    <row r="94" ht="15" customHeight="1"/>
    <row r="95" spans="9:13" ht="15" customHeight="1">
      <c r="I95" s="66"/>
      <c r="J95" s="118"/>
      <c r="K95" s="118"/>
      <c r="L95" s="118"/>
      <c r="M95" s="118"/>
    </row>
    <row r="96" spans="9:13" ht="12.75">
      <c r="I96" s="381" t="s">
        <v>294</v>
      </c>
      <c r="J96" s="382"/>
      <c r="K96" s="382"/>
      <c r="L96" s="382"/>
      <c r="M96" s="383"/>
    </row>
    <row r="97" spans="9:13" ht="12.75">
      <c r="I97" s="384"/>
      <c r="J97" s="385"/>
      <c r="K97" s="385"/>
      <c r="L97" s="385"/>
      <c r="M97" s="386"/>
    </row>
    <row r="98" spans="9:13" ht="12.75">
      <c r="I98" s="376" t="s">
        <v>16</v>
      </c>
      <c r="J98" s="378" t="s">
        <v>11</v>
      </c>
      <c r="K98" s="378" t="s">
        <v>20</v>
      </c>
      <c r="L98" s="378" t="s">
        <v>24</v>
      </c>
      <c r="M98" s="379" t="s">
        <v>22</v>
      </c>
    </row>
    <row r="99" spans="9:13" ht="12.75">
      <c r="I99" s="377"/>
      <c r="J99" s="375"/>
      <c r="K99" s="375"/>
      <c r="L99" s="375"/>
      <c r="M99" s="380"/>
    </row>
    <row r="100" spans="9:13" ht="12.75">
      <c r="I100" s="98">
        <f>J91</f>
        <v>119.5</v>
      </c>
      <c r="J100" s="99">
        <f>PI()</f>
        <v>3.141592653589793</v>
      </c>
      <c r="K100" s="100">
        <f>(I91/2)/1000</f>
        <v>0.05</v>
      </c>
      <c r="L100" s="99">
        <f>J100*K100^2*I100</f>
        <v>0.9385508052599508</v>
      </c>
      <c r="M100" s="108">
        <f>M91-L100</f>
        <v>16.98644919474005</v>
      </c>
    </row>
    <row r="102" spans="10:13" ht="12.75">
      <c r="J102" s="387" t="s">
        <v>23</v>
      </c>
      <c r="K102" s="388"/>
      <c r="L102" s="389"/>
      <c r="M102" s="101">
        <f>ROUND(SUM(M100:M100),2)</f>
        <v>16.99</v>
      </c>
    </row>
    <row r="103" ht="12.75" customHeight="1"/>
    <row r="104" ht="12.75" customHeight="1"/>
    <row r="112" ht="12.75" customHeight="1"/>
    <row r="113" ht="12.75" customHeight="1"/>
  </sheetData>
  <sheetProtection/>
  <mergeCells count="30">
    <mergeCell ref="J102:L102"/>
    <mergeCell ref="J27:L27"/>
    <mergeCell ref="I11:M11"/>
    <mergeCell ref="I21:M21"/>
    <mergeCell ref="D4:M4"/>
    <mergeCell ref="D7:G7"/>
    <mergeCell ref="M12:M13"/>
    <mergeCell ref="J17:L17"/>
    <mergeCell ref="J98:J99"/>
    <mergeCell ref="K98:K99"/>
    <mergeCell ref="L98:L99"/>
    <mergeCell ref="M98:M99"/>
    <mergeCell ref="I87:M88"/>
    <mergeCell ref="I89:I90"/>
    <mergeCell ref="J89:J90"/>
    <mergeCell ref="K89:K90"/>
    <mergeCell ref="L89:L90"/>
    <mergeCell ref="M89:M90"/>
    <mergeCell ref="J93:L93"/>
    <mergeCell ref="I96:M97"/>
    <mergeCell ref="M22:M23"/>
    <mergeCell ref="I98:I99"/>
    <mergeCell ref="I12:I13"/>
    <mergeCell ref="J12:J13"/>
    <mergeCell ref="K12:K13"/>
    <mergeCell ref="L12:L13"/>
    <mergeCell ref="I22:I23"/>
    <mergeCell ref="J22:J23"/>
    <mergeCell ref="K22:K23"/>
    <mergeCell ref="L22:L23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2:AM45"/>
  <sheetViews>
    <sheetView view="pageBreakPreview" zoomScaleSheetLayoutView="100" zoomScalePageLayoutView="0" workbookViewId="0" topLeftCell="A1">
      <selection activeCell="D5" sqref="D5:H5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8" customWidth="1"/>
    <col min="4" max="4" width="31.7109375" style="11" bestFit="1" customWidth="1"/>
    <col min="5" max="5" width="13.57421875" style="7" customWidth="1"/>
    <col min="6" max="6" width="10.28125" style="7" customWidth="1"/>
    <col min="7" max="7" width="32.28125" style="7" bestFit="1" customWidth="1"/>
    <col min="8" max="9" width="12.7109375" style="7" customWidth="1"/>
    <col min="10" max="10" width="12.7109375" style="10" customWidth="1"/>
    <col min="11" max="12" width="9.140625" style="4" customWidth="1"/>
    <col min="13" max="39" width="9.140625" style="3" customWidth="1"/>
  </cols>
  <sheetData>
    <row r="2" spans="4:13" ht="12.75">
      <c r="D2" s="395"/>
      <c r="E2" s="395"/>
      <c r="F2" s="395"/>
      <c r="G2" s="395"/>
      <c r="H2" s="395"/>
      <c r="M2" s="4"/>
    </row>
    <row r="3" spans="4:13" ht="12.75">
      <c r="D3" s="395"/>
      <c r="E3" s="395"/>
      <c r="F3" s="395"/>
      <c r="G3" s="395"/>
      <c r="H3" s="395"/>
      <c r="M3" s="4"/>
    </row>
    <row r="4" spans="1:39" s="17" customFormat="1" ht="15" customHeight="1">
      <c r="A4" s="16"/>
      <c r="B4" s="15"/>
      <c r="C4" s="72"/>
      <c r="D4" s="73"/>
      <c r="E4" s="22"/>
      <c r="F4" s="22"/>
      <c r="G4" s="22"/>
      <c r="H4" s="22"/>
      <c r="I4" s="22"/>
      <c r="J4" s="23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7" customFormat="1" ht="15" customHeight="1">
      <c r="A5" s="16"/>
      <c r="B5" s="15"/>
      <c r="C5" s="72"/>
      <c r="D5" s="391" t="s">
        <v>515</v>
      </c>
      <c r="E5" s="391"/>
      <c r="F5" s="391"/>
      <c r="G5" s="391"/>
      <c r="H5" s="391"/>
      <c r="I5" s="74"/>
      <c r="J5" s="64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17" customFormat="1" ht="15" customHeight="1">
      <c r="A6" s="16"/>
      <c r="B6" s="15"/>
      <c r="C6" s="72"/>
      <c r="D6" s="102"/>
      <c r="E6" s="102"/>
      <c r="F6" s="102"/>
      <c r="G6" s="102"/>
      <c r="H6" s="102"/>
      <c r="I6" s="102"/>
      <c r="J6" s="64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17" customFormat="1" ht="15" customHeight="1">
      <c r="A7" s="16"/>
      <c r="B7" s="15"/>
      <c r="C7" s="72"/>
      <c r="D7" s="73"/>
      <c r="E7" s="77"/>
      <c r="F7" s="77"/>
      <c r="G7" s="77"/>
      <c r="H7" s="77"/>
      <c r="I7" s="22"/>
      <c r="J7" s="23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17" customFormat="1" ht="15.75">
      <c r="A8" s="16"/>
      <c r="B8" s="15"/>
      <c r="C8" s="72"/>
      <c r="D8" s="344" t="s">
        <v>34</v>
      </c>
      <c r="E8" s="344"/>
      <c r="F8" s="344"/>
      <c r="G8" s="344"/>
      <c r="H8" s="344"/>
      <c r="I8" s="22"/>
      <c r="J8" s="23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7" customFormat="1" ht="15" customHeight="1">
      <c r="A9" s="16"/>
      <c r="B9" s="15"/>
      <c r="C9" s="72"/>
      <c r="D9" s="62" t="s">
        <v>7</v>
      </c>
      <c r="E9" s="62" t="s">
        <v>57</v>
      </c>
      <c r="F9" s="62" t="s">
        <v>59</v>
      </c>
      <c r="G9" s="62" t="s">
        <v>12</v>
      </c>
      <c r="H9" s="62" t="s">
        <v>55</v>
      </c>
      <c r="I9" s="22"/>
      <c r="J9" s="23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17" customFormat="1" ht="15" customHeight="1">
      <c r="A10" s="16"/>
      <c r="B10" s="15"/>
      <c r="C10" s="72"/>
      <c r="D10" s="28" t="s">
        <v>76</v>
      </c>
      <c r="E10" s="36">
        <v>2</v>
      </c>
      <c r="F10" s="36">
        <v>0.6</v>
      </c>
      <c r="G10" s="44" t="s">
        <v>38</v>
      </c>
      <c r="H10" s="36">
        <f>E10*F10</f>
        <v>1.2</v>
      </c>
      <c r="I10" s="42"/>
      <c r="J10" s="23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17" customFormat="1" ht="15" customHeight="1">
      <c r="A11" s="16"/>
      <c r="B11" s="15"/>
      <c r="C11" s="72"/>
      <c r="D11" s="28" t="s">
        <v>102</v>
      </c>
      <c r="E11" s="36">
        <v>1.5</v>
      </c>
      <c r="F11" s="36">
        <v>0.6</v>
      </c>
      <c r="G11" s="44" t="s">
        <v>38</v>
      </c>
      <c r="H11" s="36">
        <f>E11*F11</f>
        <v>0.8999999999999999</v>
      </c>
      <c r="I11" s="42"/>
      <c r="J11" s="23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7" customFormat="1" ht="15" customHeight="1">
      <c r="A12" s="16"/>
      <c r="B12" s="15"/>
      <c r="C12" s="72"/>
      <c r="D12" s="28" t="s">
        <v>96</v>
      </c>
      <c r="E12" s="36">
        <v>2.15</v>
      </c>
      <c r="F12" s="36">
        <v>0.6</v>
      </c>
      <c r="G12" s="44" t="s">
        <v>38</v>
      </c>
      <c r="H12" s="36">
        <f>E12*F12</f>
        <v>1.2899999999999998</v>
      </c>
      <c r="I12" s="42"/>
      <c r="J12" s="23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17" customFormat="1" ht="15" customHeight="1">
      <c r="A13" s="16"/>
      <c r="B13" s="15"/>
      <c r="C13" s="72"/>
      <c r="D13" s="28" t="s">
        <v>96</v>
      </c>
      <c r="E13" s="36">
        <v>2</v>
      </c>
      <c r="F13" s="36">
        <v>0.85</v>
      </c>
      <c r="G13" s="44" t="s">
        <v>201</v>
      </c>
      <c r="H13" s="36">
        <f>E13*F13</f>
        <v>1.7</v>
      </c>
      <c r="I13" s="42"/>
      <c r="J13" s="23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s="17" customFormat="1" ht="15" customHeight="1">
      <c r="A14" s="16"/>
      <c r="B14" s="15"/>
      <c r="C14" s="72"/>
      <c r="D14" s="28" t="s">
        <v>96</v>
      </c>
      <c r="E14" s="36">
        <v>2</v>
      </c>
      <c r="F14" s="36">
        <v>0.85</v>
      </c>
      <c r="G14" s="44" t="s">
        <v>201</v>
      </c>
      <c r="H14" s="36">
        <f>E14*F14</f>
        <v>1.7</v>
      </c>
      <c r="I14" s="42"/>
      <c r="J14" s="23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7" customFormat="1" ht="15" customHeight="1">
      <c r="A15" s="16"/>
      <c r="B15" s="15"/>
      <c r="C15" s="72"/>
      <c r="D15" s="321" t="s">
        <v>35</v>
      </c>
      <c r="E15" s="321"/>
      <c r="F15" s="321"/>
      <c r="G15" s="321"/>
      <c r="H15" s="176">
        <f>ROUND(SUM(H10:H14),2)</f>
        <v>6.79</v>
      </c>
      <c r="I15" s="42"/>
      <c r="J15" s="23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s="45" customFormat="1" ht="15" customHeight="1">
      <c r="A16" s="25"/>
      <c r="B16" s="20"/>
      <c r="C16" s="75"/>
      <c r="D16" s="52"/>
      <c r="E16" s="35"/>
      <c r="F16" s="35"/>
      <c r="G16" s="76"/>
      <c r="H16" s="35"/>
      <c r="I16" s="54"/>
      <c r="J16" s="27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45" customFormat="1" ht="15" customHeight="1">
      <c r="A17" s="25"/>
      <c r="B17" s="20"/>
      <c r="C17" s="75"/>
      <c r="D17" s="52"/>
      <c r="E17" s="35"/>
      <c r="F17" s="35"/>
      <c r="G17" s="76"/>
      <c r="H17" s="35"/>
      <c r="I17" s="54"/>
      <c r="J17" s="27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17" customFormat="1" ht="15.75">
      <c r="A18" s="16"/>
      <c r="B18" s="15"/>
      <c r="C18" s="72"/>
      <c r="D18" s="344" t="s">
        <v>44</v>
      </c>
      <c r="E18" s="344"/>
      <c r="F18" s="53"/>
      <c r="G18" s="344" t="s">
        <v>434</v>
      </c>
      <c r="H18" s="344"/>
      <c r="I18" s="22"/>
      <c r="J18" s="23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7" customFormat="1" ht="15" customHeight="1">
      <c r="A19" s="16"/>
      <c r="B19" s="15"/>
      <c r="C19" s="72"/>
      <c r="D19" s="62" t="s">
        <v>7</v>
      </c>
      <c r="E19" s="62" t="s">
        <v>202</v>
      </c>
      <c r="F19" s="21"/>
      <c r="G19" s="62" t="s">
        <v>7</v>
      </c>
      <c r="H19" s="62" t="s">
        <v>62</v>
      </c>
      <c r="I19" s="22"/>
      <c r="J19" s="23"/>
      <c r="K19" s="15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7" customFormat="1" ht="15" customHeight="1">
      <c r="A20" s="16"/>
      <c r="B20" s="15"/>
      <c r="C20" s="72"/>
      <c r="D20" s="28" t="s">
        <v>76</v>
      </c>
      <c r="E20" s="36">
        <f>2*E10+2*F10</f>
        <v>5.2</v>
      </c>
      <c r="F20" s="21"/>
      <c r="G20" s="28" t="s">
        <v>40</v>
      </c>
      <c r="H20" s="28">
        <v>1</v>
      </c>
      <c r="I20" s="42"/>
      <c r="J20" s="23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7" customFormat="1" ht="15" customHeight="1">
      <c r="A21" s="16"/>
      <c r="B21" s="15"/>
      <c r="C21" s="72"/>
      <c r="D21" s="28" t="s">
        <v>102</v>
      </c>
      <c r="E21" s="36">
        <f>2*E11+2*F11</f>
        <v>4.2</v>
      </c>
      <c r="F21" s="21"/>
      <c r="G21" s="162" t="s">
        <v>0</v>
      </c>
      <c r="H21" s="176">
        <f>H20</f>
        <v>1</v>
      </c>
      <c r="I21" s="42"/>
      <c r="J21" s="23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7" customFormat="1" ht="15" customHeight="1">
      <c r="A22" s="16"/>
      <c r="B22" s="15"/>
      <c r="C22" s="72"/>
      <c r="D22" s="28" t="s">
        <v>96</v>
      </c>
      <c r="E22" s="36">
        <f>2*E12+2*F12</f>
        <v>5.5</v>
      </c>
      <c r="F22" s="21"/>
      <c r="I22" s="42"/>
      <c r="J22" s="23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7" customFormat="1" ht="15" customHeight="1">
      <c r="A23" s="16"/>
      <c r="B23" s="15"/>
      <c r="C23" s="72"/>
      <c r="D23" s="28" t="s">
        <v>96</v>
      </c>
      <c r="E23" s="36">
        <f>2*E13+2*F13</f>
        <v>5.7</v>
      </c>
      <c r="F23" s="21"/>
      <c r="G23" s="21"/>
      <c r="H23" s="35"/>
      <c r="I23" s="42"/>
      <c r="J23" s="23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7" customFormat="1" ht="15.75">
      <c r="A24" s="16"/>
      <c r="B24" s="15"/>
      <c r="C24" s="72"/>
      <c r="D24" s="28" t="s">
        <v>96</v>
      </c>
      <c r="E24" s="36">
        <f>2*E14+2*F14</f>
        <v>5.7</v>
      </c>
      <c r="F24" s="46"/>
      <c r="G24" s="344" t="s">
        <v>203</v>
      </c>
      <c r="H24" s="344"/>
      <c r="I24" s="42"/>
      <c r="J24" s="23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45" customFormat="1" ht="15" customHeight="1">
      <c r="A25" s="25"/>
      <c r="B25" s="20"/>
      <c r="C25" s="75"/>
      <c r="D25" s="162" t="s">
        <v>0</v>
      </c>
      <c r="E25" s="176">
        <f>ROUND(SUM(E20:E24),2)</f>
        <v>26.3</v>
      </c>
      <c r="F25" s="35"/>
      <c r="G25" s="62" t="s">
        <v>7</v>
      </c>
      <c r="H25" s="62" t="s">
        <v>62</v>
      </c>
      <c r="I25" s="54"/>
      <c r="J25" s="27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45" customFormat="1" ht="12.75">
      <c r="A26" s="25"/>
      <c r="B26" s="20"/>
      <c r="C26" s="75"/>
      <c r="F26" s="35"/>
      <c r="G26" s="28" t="s">
        <v>40</v>
      </c>
      <c r="H26" s="28">
        <v>1</v>
      </c>
      <c r="I26" s="54"/>
      <c r="J26" s="27"/>
      <c r="K26" s="20"/>
      <c r="L26" s="2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45" customFormat="1" ht="15" customHeight="1">
      <c r="A27" s="25"/>
      <c r="B27" s="20"/>
      <c r="C27" s="75"/>
      <c r="F27" s="35"/>
      <c r="G27" s="162" t="s">
        <v>0</v>
      </c>
      <c r="H27" s="176">
        <f>H26</f>
        <v>1</v>
      </c>
      <c r="I27" s="54"/>
      <c r="J27" s="27"/>
      <c r="K27" s="20"/>
      <c r="L27" s="2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17" customFormat="1" ht="15" customHeight="1">
      <c r="A28" s="16"/>
      <c r="B28" s="15"/>
      <c r="C28" s="72"/>
      <c r="D28" s="344" t="s">
        <v>53</v>
      </c>
      <c r="E28" s="344"/>
      <c r="F28" s="77"/>
      <c r="G28" s="77"/>
      <c r="H28" s="29"/>
      <c r="I28" s="22"/>
      <c r="J28" s="23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7" customFormat="1" ht="15" customHeight="1">
      <c r="A29" s="16"/>
      <c r="B29" s="15"/>
      <c r="C29" s="72"/>
      <c r="D29" s="62" t="s">
        <v>7</v>
      </c>
      <c r="E29" s="62" t="s">
        <v>62</v>
      </c>
      <c r="F29" s="77"/>
      <c r="G29" s="77"/>
      <c r="H29" s="29"/>
      <c r="I29" s="22"/>
      <c r="J29" s="23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7" customFormat="1" ht="15" customHeight="1">
      <c r="A30" s="16"/>
      <c r="B30" s="15"/>
      <c r="C30" s="72"/>
      <c r="D30" s="28" t="s">
        <v>76</v>
      </c>
      <c r="E30" s="36">
        <v>1</v>
      </c>
      <c r="F30" s="77"/>
      <c r="G30" s="344" t="s">
        <v>204</v>
      </c>
      <c r="H30" s="344"/>
      <c r="I30" s="22"/>
      <c r="J30" s="23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7" customFormat="1" ht="15" customHeight="1">
      <c r="A31" s="16"/>
      <c r="B31" s="15"/>
      <c r="C31" s="72"/>
      <c r="D31" s="28" t="s">
        <v>102</v>
      </c>
      <c r="E31" s="36">
        <v>1</v>
      </c>
      <c r="F31" s="77"/>
      <c r="G31" s="62" t="s">
        <v>7</v>
      </c>
      <c r="H31" s="62" t="s">
        <v>62</v>
      </c>
      <c r="I31" s="22"/>
      <c r="J31" s="23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7" customFormat="1" ht="15" customHeight="1">
      <c r="A32" s="16"/>
      <c r="B32" s="15"/>
      <c r="C32" s="72"/>
      <c r="D32" s="28" t="s">
        <v>96</v>
      </c>
      <c r="E32" s="36">
        <v>1</v>
      </c>
      <c r="F32" s="22"/>
      <c r="G32" s="28" t="s">
        <v>41</v>
      </c>
      <c r="H32" s="28">
        <v>1</v>
      </c>
      <c r="I32" s="22"/>
      <c r="J32" s="23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7" customFormat="1" ht="15" customHeight="1">
      <c r="A33" s="16"/>
      <c r="B33" s="15"/>
      <c r="C33" s="72"/>
      <c r="D33" s="162" t="s">
        <v>0</v>
      </c>
      <c r="E33" s="176">
        <f>SUM(E30:E32)</f>
        <v>3</v>
      </c>
      <c r="F33" s="22"/>
      <c r="G33" s="162" t="s">
        <v>0</v>
      </c>
      <c r="H33" s="176">
        <f>H32</f>
        <v>1</v>
      </c>
      <c r="I33" s="22"/>
      <c r="J33" s="23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ht="15" customHeight="1">
      <c r="H34" s="12"/>
    </row>
    <row r="35" ht="15" customHeight="1">
      <c r="H35" s="12"/>
    </row>
    <row r="36" ht="15" customHeight="1">
      <c r="H36" s="12"/>
    </row>
    <row r="37" ht="15" customHeight="1">
      <c r="H37" s="12"/>
    </row>
    <row r="38" ht="15" customHeight="1">
      <c r="H38" s="12"/>
    </row>
    <row r="39" ht="15" customHeight="1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</sheetData>
  <sheetProtection/>
  <mergeCells count="10">
    <mergeCell ref="G30:H30"/>
    <mergeCell ref="D28:E28"/>
    <mergeCell ref="G18:H18"/>
    <mergeCell ref="D15:G15"/>
    <mergeCell ref="D18:E18"/>
    <mergeCell ref="D2:H2"/>
    <mergeCell ref="D3:H3"/>
    <mergeCell ref="D5:H5"/>
    <mergeCell ref="D8:H8"/>
    <mergeCell ref="G24:H24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D4:Q68"/>
  <sheetViews>
    <sheetView view="pageBreakPreview" zoomScaleNormal="160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9.140625" style="0" customWidth="1"/>
    <col min="15" max="15" width="11.00390625" style="0" bestFit="1" customWidth="1"/>
  </cols>
  <sheetData>
    <row r="4" spans="4:13" ht="15" customHeight="1">
      <c r="D4" s="391" t="s">
        <v>72</v>
      </c>
      <c r="E4" s="391"/>
      <c r="F4" s="391"/>
      <c r="G4" s="391"/>
      <c r="H4" s="391"/>
      <c r="I4" s="391"/>
      <c r="J4" s="391"/>
      <c r="K4" s="391"/>
      <c r="L4" s="391"/>
      <c r="M4" s="391"/>
    </row>
    <row r="5" ht="15" customHeight="1"/>
    <row r="6" spans="9:10" ht="15" customHeight="1" thickBot="1">
      <c r="I6" s="1"/>
      <c r="J6" s="1"/>
    </row>
    <row r="7" spans="4:17" ht="15" customHeight="1" thickBot="1">
      <c r="D7" s="392" t="s">
        <v>329</v>
      </c>
      <c r="E7" s="393"/>
      <c r="F7" s="393"/>
      <c r="G7" s="394"/>
      <c r="I7" s="51"/>
      <c r="J7" s="106"/>
      <c r="O7" s="396" t="s">
        <v>30</v>
      </c>
      <c r="P7" s="397"/>
      <c r="Q7" s="398"/>
    </row>
    <row r="8" spans="4:17" ht="15" customHeight="1">
      <c r="D8" s="126" t="s">
        <v>215</v>
      </c>
      <c r="E8" s="125"/>
      <c r="F8" s="125"/>
      <c r="G8" s="248"/>
      <c r="I8" s="51"/>
      <c r="J8" s="106"/>
      <c r="O8" s="78" t="s">
        <v>28</v>
      </c>
      <c r="P8" s="79"/>
      <c r="Q8" s="80">
        <v>0.6</v>
      </c>
    </row>
    <row r="9" spans="4:17" ht="15" customHeight="1">
      <c r="D9" s="121"/>
      <c r="E9" s="127" t="s">
        <v>261</v>
      </c>
      <c r="F9" s="128"/>
      <c r="G9" s="249"/>
      <c r="I9" s="51"/>
      <c r="J9" s="106"/>
      <c r="O9" s="81" t="s">
        <v>29</v>
      </c>
      <c r="P9" s="82"/>
      <c r="Q9" s="83">
        <v>0.3</v>
      </c>
    </row>
    <row r="10" spans="4:17" ht="15" customHeight="1">
      <c r="D10" s="114"/>
      <c r="E10" s="129" t="s">
        <v>262</v>
      </c>
      <c r="F10" s="130"/>
      <c r="G10" s="250" t="s">
        <v>278</v>
      </c>
      <c r="I10" s="390" t="s">
        <v>61</v>
      </c>
      <c r="J10" s="390"/>
      <c r="K10" s="390"/>
      <c r="L10" s="390"/>
      <c r="M10" s="390"/>
      <c r="O10" s="81" t="s">
        <v>51</v>
      </c>
      <c r="P10" s="82"/>
      <c r="Q10" s="83">
        <v>0.6</v>
      </c>
    </row>
    <row r="11" spans="4:17" ht="15" customHeight="1">
      <c r="D11" s="124" t="s">
        <v>218</v>
      </c>
      <c r="E11" s="125"/>
      <c r="F11" s="125"/>
      <c r="G11" s="248"/>
      <c r="I11" s="375" t="s">
        <v>15</v>
      </c>
      <c r="J11" s="375" t="s">
        <v>16</v>
      </c>
      <c r="K11" s="375" t="s">
        <v>17</v>
      </c>
      <c r="L11" s="375" t="s">
        <v>18</v>
      </c>
      <c r="M11" s="375" t="s">
        <v>19</v>
      </c>
      <c r="O11" s="81" t="s">
        <v>13</v>
      </c>
      <c r="P11" s="82"/>
      <c r="Q11" s="83">
        <v>1.1</v>
      </c>
    </row>
    <row r="12" spans="4:17" ht="15" customHeight="1" thickBot="1">
      <c r="D12" s="121"/>
      <c r="E12" s="128" t="s">
        <v>263</v>
      </c>
      <c r="F12" s="128"/>
      <c r="G12" s="249"/>
      <c r="I12" s="375"/>
      <c r="J12" s="375"/>
      <c r="K12" s="375"/>
      <c r="L12" s="375"/>
      <c r="M12" s="375"/>
      <c r="O12" s="84" t="s">
        <v>33</v>
      </c>
      <c r="P12" s="85"/>
      <c r="Q12" s="86">
        <v>4</v>
      </c>
    </row>
    <row r="13" spans="4:17" ht="15" customHeight="1">
      <c r="D13" s="114"/>
      <c r="E13" s="123" t="s">
        <v>279</v>
      </c>
      <c r="F13" s="131"/>
      <c r="G13" s="250" t="s">
        <v>222</v>
      </c>
      <c r="I13" s="150">
        <v>40</v>
      </c>
      <c r="J13" s="67">
        <v>1.86</v>
      </c>
      <c r="K13" s="68">
        <v>0.3</v>
      </c>
      <c r="L13" s="55">
        <v>0.5</v>
      </c>
      <c r="M13" s="172">
        <f>J13*K13*L13</f>
        <v>0.279</v>
      </c>
      <c r="O13" s="117"/>
      <c r="P13" s="45"/>
      <c r="Q13" s="89"/>
    </row>
    <row r="14" spans="4:13" ht="15" customHeight="1">
      <c r="D14" s="114"/>
      <c r="E14" s="131" t="s">
        <v>264</v>
      </c>
      <c r="F14" s="131"/>
      <c r="G14" s="250" t="s">
        <v>222</v>
      </c>
      <c r="I14" s="150">
        <v>50</v>
      </c>
      <c r="J14" s="67">
        <v>25.39</v>
      </c>
      <c r="K14" s="68">
        <v>0.3</v>
      </c>
      <c r="L14" s="55">
        <v>0.5</v>
      </c>
      <c r="M14" s="172">
        <f>J14*K14*L14</f>
        <v>3.8085</v>
      </c>
    </row>
    <row r="15" spans="4:13" ht="15" customHeight="1">
      <c r="D15" s="114"/>
      <c r="E15" s="131" t="s">
        <v>266</v>
      </c>
      <c r="F15" s="131"/>
      <c r="G15" s="251"/>
      <c r="I15" s="150">
        <v>100</v>
      </c>
      <c r="J15" s="71">
        <v>119.5</v>
      </c>
      <c r="K15" s="68">
        <v>0.3</v>
      </c>
      <c r="L15" s="55">
        <v>0.5</v>
      </c>
      <c r="M15" s="172">
        <f>J15*K15*L15</f>
        <v>17.925</v>
      </c>
    </row>
    <row r="16" spans="4:7" ht="15" customHeight="1">
      <c r="D16" s="114"/>
      <c r="E16" s="123" t="s">
        <v>269</v>
      </c>
      <c r="F16" s="123"/>
      <c r="G16" s="250" t="s">
        <v>260</v>
      </c>
    </row>
    <row r="17" spans="4:13" ht="15" customHeight="1">
      <c r="D17" s="114"/>
      <c r="E17" s="131" t="s">
        <v>270</v>
      </c>
      <c r="F17" s="131"/>
      <c r="G17" s="251"/>
      <c r="J17" s="263" t="s">
        <v>21</v>
      </c>
      <c r="K17" s="263"/>
      <c r="L17" s="263"/>
      <c r="M17" s="175">
        <f>ROUND(SUM(M13:M15),2)</f>
        <v>22.01</v>
      </c>
    </row>
    <row r="18" spans="4:7" ht="15" customHeight="1">
      <c r="D18" s="114"/>
      <c r="E18" s="131" t="s">
        <v>267</v>
      </c>
      <c r="F18" s="131"/>
      <c r="G18" s="251" t="s">
        <v>222</v>
      </c>
    </row>
    <row r="19" spans="4:13" ht="15" customHeight="1">
      <c r="D19" s="114"/>
      <c r="E19" s="131" t="s">
        <v>271</v>
      </c>
      <c r="F19" s="131"/>
      <c r="G19" s="251" t="s">
        <v>222</v>
      </c>
      <c r="I19" s="66"/>
      <c r="J19" s="63"/>
      <c r="K19" s="63"/>
      <c r="L19" s="63"/>
      <c r="M19" s="63"/>
    </row>
    <row r="20" spans="4:13" ht="15" customHeight="1">
      <c r="D20" s="114"/>
      <c r="E20" s="131" t="s">
        <v>272</v>
      </c>
      <c r="F20" s="131"/>
      <c r="G20" s="251"/>
      <c r="I20" s="390" t="s">
        <v>60</v>
      </c>
      <c r="J20" s="390"/>
      <c r="K20" s="390"/>
      <c r="L20" s="390"/>
      <c r="M20" s="390"/>
    </row>
    <row r="21" spans="4:13" ht="15" customHeight="1">
      <c r="D21" s="114"/>
      <c r="E21" s="131" t="s">
        <v>273</v>
      </c>
      <c r="F21" s="131"/>
      <c r="G21" s="251" t="s">
        <v>222</v>
      </c>
      <c r="I21" s="375" t="s">
        <v>16</v>
      </c>
      <c r="J21" s="375" t="s">
        <v>11</v>
      </c>
      <c r="K21" s="375" t="s">
        <v>20</v>
      </c>
      <c r="L21" s="375" t="s">
        <v>24</v>
      </c>
      <c r="M21" s="375" t="s">
        <v>22</v>
      </c>
    </row>
    <row r="22" spans="4:13" ht="15" customHeight="1">
      <c r="D22" s="114"/>
      <c r="E22" s="123" t="s">
        <v>274</v>
      </c>
      <c r="F22" s="123"/>
      <c r="G22" s="250"/>
      <c r="I22" s="375"/>
      <c r="J22" s="375"/>
      <c r="K22" s="375"/>
      <c r="L22" s="375"/>
      <c r="M22" s="375"/>
    </row>
    <row r="23" spans="4:13" ht="15" customHeight="1">
      <c r="D23" s="114"/>
      <c r="E23" s="131" t="s">
        <v>273</v>
      </c>
      <c r="F23" s="131"/>
      <c r="G23" s="251" t="s">
        <v>222</v>
      </c>
      <c r="I23" s="55">
        <f>J13</f>
        <v>1.86</v>
      </c>
      <c r="J23" s="69">
        <f>PI()</f>
        <v>3.141592653589793</v>
      </c>
      <c r="K23" s="70">
        <f>(I13/2)/1000</f>
        <v>0.02</v>
      </c>
      <c r="L23" s="69">
        <f>J23*K23^2*I23</f>
        <v>0.002337344934270806</v>
      </c>
      <c r="M23" s="173">
        <f>M13-L23</f>
        <v>0.27666265506572923</v>
      </c>
    </row>
    <row r="24" spans="4:13" ht="15" customHeight="1">
      <c r="D24" s="114"/>
      <c r="E24" s="123" t="s">
        <v>280</v>
      </c>
      <c r="F24" s="123"/>
      <c r="G24" s="250"/>
      <c r="I24" s="55">
        <f>J14</f>
        <v>25.39</v>
      </c>
      <c r="J24" s="69">
        <f>PI()</f>
        <v>3.141592653589793</v>
      </c>
      <c r="K24" s="70">
        <f>(I14/2)/1000</f>
        <v>0.025</v>
      </c>
      <c r="L24" s="69">
        <f>J24*K24^2*I24</f>
        <v>0.04985314842165303</v>
      </c>
      <c r="M24" s="173">
        <f>M14-L24</f>
        <v>3.758646851578347</v>
      </c>
    </row>
    <row r="25" spans="4:13" ht="15" customHeight="1">
      <c r="D25" s="122"/>
      <c r="E25" s="123" t="s">
        <v>275</v>
      </c>
      <c r="F25" s="130"/>
      <c r="G25" s="252" t="s">
        <v>222</v>
      </c>
      <c r="I25" s="55">
        <f>J15</f>
        <v>119.5</v>
      </c>
      <c r="J25" s="69">
        <f>PI()</f>
        <v>3.141592653589793</v>
      </c>
      <c r="K25" s="70">
        <f>(I15/2)/1000</f>
        <v>0.05</v>
      </c>
      <c r="L25" s="69">
        <f>J25*K25^2*I25</f>
        <v>0.9385508052599508</v>
      </c>
      <c r="M25" s="173">
        <f>M15-L25</f>
        <v>16.98644919474005</v>
      </c>
    </row>
    <row r="26" spans="4:7" ht="15" customHeight="1">
      <c r="D26" s="124" t="s">
        <v>219</v>
      </c>
      <c r="E26" s="125"/>
      <c r="F26" s="125"/>
      <c r="G26" s="248"/>
    </row>
    <row r="27" spans="4:13" ht="15" customHeight="1">
      <c r="D27" s="114"/>
      <c r="E27" s="132" t="s">
        <v>523</v>
      </c>
      <c r="F27" s="131"/>
      <c r="G27" s="251"/>
      <c r="J27" s="263" t="s">
        <v>23</v>
      </c>
      <c r="K27" s="263"/>
      <c r="L27" s="263"/>
      <c r="M27" s="174">
        <f>ROUND(SUM(M23:M25),2)</f>
        <v>21.02</v>
      </c>
    </row>
    <row r="28" spans="4:7" ht="15" customHeight="1">
      <c r="D28" s="114"/>
      <c r="E28" s="133" t="s">
        <v>276</v>
      </c>
      <c r="F28" s="131"/>
      <c r="G28" s="250" t="s">
        <v>286</v>
      </c>
    </row>
    <row r="29" spans="4:7" ht="15" customHeight="1">
      <c r="D29" s="114"/>
      <c r="E29" s="133" t="s">
        <v>281</v>
      </c>
      <c r="F29" s="131"/>
      <c r="G29" s="251"/>
    </row>
    <row r="30" spans="4:7" ht="15" customHeight="1">
      <c r="D30" s="114"/>
      <c r="E30" s="133" t="s">
        <v>276</v>
      </c>
      <c r="F30" s="131"/>
      <c r="G30" s="250" t="s">
        <v>286</v>
      </c>
    </row>
    <row r="31" spans="4:7" ht="15" customHeight="1">
      <c r="D31" s="114"/>
      <c r="E31" s="133" t="s">
        <v>282</v>
      </c>
      <c r="F31" s="131"/>
      <c r="G31" s="251"/>
    </row>
    <row r="32" spans="4:7" ht="15" customHeight="1">
      <c r="D32" s="114"/>
      <c r="E32" s="133" t="s">
        <v>283</v>
      </c>
      <c r="F32" s="131"/>
      <c r="G32" s="250" t="s">
        <v>260</v>
      </c>
    </row>
    <row r="33" spans="4:7" ht="15" customHeight="1">
      <c r="D33" s="114"/>
      <c r="E33" s="132" t="s">
        <v>220</v>
      </c>
      <c r="F33" s="131"/>
      <c r="G33" s="251"/>
    </row>
    <row r="34" spans="4:7" ht="15" customHeight="1">
      <c r="D34" s="114"/>
      <c r="E34" s="133" t="s">
        <v>221</v>
      </c>
      <c r="F34" s="131"/>
      <c r="G34" s="250" t="s">
        <v>287</v>
      </c>
    </row>
    <row r="35" spans="4:7" ht="15" customHeight="1">
      <c r="D35" s="114"/>
      <c r="E35" s="133" t="s">
        <v>283</v>
      </c>
      <c r="F35" s="131"/>
      <c r="G35" s="250" t="s">
        <v>259</v>
      </c>
    </row>
    <row r="36" spans="4:7" ht="15" customHeight="1">
      <c r="D36" s="114"/>
      <c r="E36" s="133" t="s">
        <v>284</v>
      </c>
      <c r="F36" s="131"/>
      <c r="G36" s="251"/>
    </row>
    <row r="37" spans="4:7" ht="15" customHeight="1">
      <c r="D37" s="114"/>
      <c r="E37" s="133" t="s">
        <v>285</v>
      </c>
      <c r="F37" s="131"/>
      <c r="G37" s="250" t="s">
        <v>286</v>
      </c>
    </row>
    <row r="38" spans="4:7" ht="15" customHeight="1">
      <c r="D38" s="114"/>
      <c r="E38" s="131" t="s">
        <v>223</v>
      </c>
      <c r="F38" s="131"/>
      <c r="G38" s="251"/>
    </row>
    <row r="39" spans="4:7" ht="15" customHeight="1">
      <c r="D39" s="114"/>
      <c r="E39" s="131" t="s">
        <v>224</v>
      </c>
      <c r="F39" s="131"/>
      <c r="G39" s="250" t="s">
        <v>289</v>
      </c>
    </row>
    <row r="40" spans="4:7" ht="15" customHeight="1">
      <c r="D40" s="114"/>
      <c r="E40" s="131" t="s">
        <v>276</v>
      </c>
      <c r="F40" s="131"/>
      <c r="G40" s="250" t="s">
        <v>290</v>
      </c>
    </row>
    <row r="41" spans="4:13" ht="15" customHeight="1">
      <c r="D41" s="114"/>
      <c r="E41" s="131" t="s">
        <v>277</v>
      </c>
      <c r="F41" s="131"/>
      <c r="G41" s="250" t="s">
        <v>291</v>
      </c>
      <c r="I41" s="135"/>
      <c r="J41" s="135"/>
      <c r="K41" s="135"/>
      <c r="L41" s="135"/>
      <c r="M41" s="135"/>
    </row>
    <row r="42" spans="4:13" ht="15" customHeight="1">
      <c r="D42" s="114"/>
      <c r="E42" s="123" t="s">
        <v>225</v>
      </c>
      <c r="F42" s="123"/>
      <c r="G42" s="250"/>
      <c r="I42" s="135"/>
      <c r="J42" s="135"/>
      <c r="K42" s="135"/>
      <c r="L42" s="135"/>
      <c r="M42" s="135"/>
    </row>
    <row r="43" spans="4:13" ht="15" customHeight="1">
      <c r="D43" s="122"/>
      <c r="E43" s="129" t="s">
        <v>288</v>
      </c>
      <c r="F43" s="130"/>
      <c r="G43" s="253" t="s">
        <v>268</v>
      </c>
      <c r="I43" s="135"/>
      <c r="J43" s="135"/>
      <c r="K43" s="135"/>
      <c r="L43" s="135"/>
      <c r="M43" s="135"/>
    </row>
    <row r="44" spans="9:13" ht="15" customHeight="1">
      <c r="I44" s="135"/>
      <c r="J44" s="135"/>
      <c r="K44" s="135"/>
      <c r="L44" s="135"/>
      <c r="M44" s="135"/>
    </row>
    <row r="45" spans="9:13" ht="15" customHeight="1">
      <c r="I45" s="135"/>
      <c r="J45" s="135"/>
      <c r="K45" s="135"/>
      <c r="L45" s="135"/>
      <c r="M45" s="135"/>
    </row>
    <row r="46" spans="9:13" ht="15" customHeight="1">
      <c r="I46" s="135"/>
      <c r="J46" s="135"/>
      <c r="K46" s="135"/>
      <c r="L46" s="135"/>
      <c r="M46" s="135"/>
    </row>
    <row r="47" spans="4:13" ht="15" customHeight="1">
      <c r="D47" s="399" t="s">
        <v>292</v>
      </c>
      <c r="E47" s="399"/>
      <c r="F47" s="399"/>
      <c r="G47" s="399"/>
      <c r="H47" s="399"/>
      <c r="I47" s="399"/>
      <c r="J47" s="399"/>
      <c r="K47" s="399"/>
      <c r="L47" s="399"/>
      <c r="M47" s="399"/>
    </row>
    <row r="48" ht="15" customHeight="1"/>
    <row r="49" spans="4:7" ht="15" customHeight="1">
      <c r="D49" s="92"/>
      <c r="E49" s="92"/>
      <c r="F49" s="92"/>
      <c r="G49" s="254"/>
    </row>
    <row r="50" spans="4:13" ht="15" customHeight="1">
      <c r="D50" s="392" t="s">
        <v>330</v>
      </c>
      <c r="E50" s="393"/>
      <c r="F50" s="393"/>
      <c r="G50" s="394"/>
      <c r="I50" s="390" t="s">
        <v>293</v>
      </c>
      <c r="J50" s="390"/>
      <c r="K50" s="390"/>
      <c r="L50" s="390"/>
      <c r="M50" s="390"/>
    </row>
    <row r="51" spans="4:13" ht="15" customHeight="1">
      <c r="D51" s="110" t="s">
        <v>215</v>
      </c>
      <c r="E51" s="111"/>
      <c r="F51" s="111"/>
      <c r="G51" s="255"/>
      <c r="I51" s="375" t="s">
        <v>15</v>
      </c>
      <c r="J51" s="375" t="s">
        <v>16</v>
      </c>
      <c r="K51" s="375" t="s">
        <v>17</v>
      </c>
      <c r="L51" s="375" t="s">
        <v>18</v>
      </c>
      <c r="M51" s="375" t="s">
        <v>19</v>
      </c>
    </row>
    <row r="52" spans="4:13" ht="15" customHeight="1">
      <c r="D52" s="112"/>
      <c r="E52" s="113" t="s">
        <v>216</v>
      </c>
      <c r="F52" s="113"/>
      <c r="G52" s="256"/>
      <c r="I52" s="375"/>
      <c r="J52" s="375"/>
      <c r="K52" s="375"/>
      <c r="L52" s="375"/>
      <c r="M52" s="375"/>
    </row>
    <row r="53" spans="4:13" ht="15" customHeight="1">
      <c r="D53" s="112"/>
      <c r="E53" s="113" t="s">
        <v>217</v>
      </c>
      <c r="F53" s="113"/>
      <c r="G53" s="257" t="s">
        <v>258</v>
      </c>
      <c r="I53" s="150">
        <v>100</v>
      </c>
      <c r="J53" s="71">
        <v>55.12</v>
      </c>
      <c r="K53" s="68">
        <v>0.3</v>
      </c>
      <c r="L53" s="55">
        <v>0.5</v>
      </c>
      <c r="M53" s="172">
        <f>J53*K53*L53</f>
        <v>8.267999999999999</v>
      </c>
    </row>
    <row r="54" spans="4:7" ht="15" customHeight="1">
      <c r="D54" s="110" t="s">
        <v>219</v>
      </c>
      <c r="E54" s="111"/>
      <c r="F54" s="111"/>
      <c r="G54" s="255"/>
    </row>
    <row r="55" spans="4:13" ht="14.25" customHeight="1">
      <c r="D55" s="112"/>
      <c r="E55" s="113" t="s">
        <v>220</v>
      </c>
      <c r="F55" s="113"/>
      <c r="G55" s="256"/>
      <c r="J55" s="263" t="s">
        <v>21</v>
      </c>
      <c r="K55" s="263"/>
      <c r="L55" s="263"/>
      <c r="M55" s="175">
        <f>ROUND(SUM(M53:M53),2)</f>
        <v>8.27</v>
      </c>
    </row>
    <row r="56" spans="4:7" ht="14.25" customHeight="1">
      <c r="D56" s="112"/>
      <c r="E56" s="113" t="s">
        <v>221</v>
      </c>
      <c r="F56" s="113"/>
      <c r="G56" s="257" t="s">
        <v>259</v>
      </c>
    </row>
    <row r="57" spans="4:13" ht="14.25" customHeight="1">
      <c r="D57" s="112"/>
      <c r="E57" s="113" t="s">
        <v>223</v>
      </c>
      <c r="F57" s="113"/>
      <c r="G57" s="256"/>
      <c r="I57" s="66"/>
      <c r="J57" s="118"/>
      <c r="K57" s="118"/>
      <c r="L57" s="118"/>
      <c r="M57" s="118"/>
    </row>
    <row r="58" spans="4:13" ht="14.25" customHeight="1">
      <c r="D58" s="112"/>
      <c r="E58" s="113" t="s">
        <v>224</v>
      </c>
      <c r="F58" s="113"/>
      <c r="G58" s="256" t="s">
        <v>227</v>
      </c>
      <c r="I58" s="390" t="s">
        <v>294</v>
      </c>
      <c r="J58" s="390"/>
      <c r="K58" s="390"/>
      <c r="L58" s="390"/>
      <c r="M58" s="390"/>
    </row>
    <row r="59" spans="4:13" ht="14.25" customHeight="1">
      <c r="D59" s="112"/>
      <c r="E59" s="113" t="s">
        <v>225</v>
      </c>
      <c r="F59" s="113"/>
      <c r="G59" s="256"/>
      <c r="I59" s="375" t="s">
        <v>16</v>
      </c>
      <c r="J59" s="375" t="s">
        <v>11</v>
      </c>
      <c r="K59" s="375" t="s">
        <v>20</v>
      </c>
      <c r="L59" s="375" t="s">
        <v>24</v>
      </c>
      <c r="M59" s="375" t="s">
        <v>22</v>
      </c>
    </row>
    <row r="60" spans="4:13" ht="14.25" customHeight="1">
      <c r="D60" s="115"/>
      <c r="E60" s="116" t="s">
        <v>226</v>
      </c>
      <c r="F60" s="116"/>
      <c r="G60" s="258" t="s">
        <v>260</v>
      </c>
      <c r="I60" s="375"/>
      <c r="J60" s="375"/>
      <c r="K60" s="375"/>
      <c r="L60" s="375"/>
      <c r="M60" s="375"/>
    </row>
    <row r="61" spans="7:13" ht="14.25" customHeight="1">
      <c r="G61" s="259"/>
      <c r="I61" s="55">
        <f>J53</f>
        <v>55.12</v>
      </c>
      <c r="J61" s="69">
        <f>PI()</f>
        <v>3.141592653589793</v>
      </c>
      <c r="K61" s="70">
        <f>(I53/2)/1000</f>
        <v>0.05</v>
      </c>
      <c r="L61" s="69">
        <f>J61*K61^2*I61</f>
        <v>0.43291146766467353</v>
      </c>
      <c r="M61" s="173">
        <f>M53-L61</f>
        <v>7.835088532335325</v>
      </c>
    </row>
    <row r="62" spans="7:8" ht="14.25" customHeight="1">
      <c r="G62" s="259"/>
      <c r="H62" s="17"/>
    </row>
    <row r="63" spans="7:13" ht="14.25" customHeight="1">
      <c r="G63" s="259"/>
      <c r="H63" s="17"/>
      <c r="J63" s="263" t="s">
        <v>23</v>
      </c>
      <c r="K63" s="263"/>
      <c r="L63" s="263"/>
      <c r="M63" s="174">
        <f>ROUND(SUM(M61:M61),2)</f>
        <v>7.84</v>
      </c>
    </row>
    <row r="64" spans="7:8" ht="14.25" customHeight="1">
      <c r="G64" s="259"/>
      <c r="H64" s="88"/>
    </row>
    <row r="65" spans="7:8" ht="14.25" customHeight="1">
      <c r="G65" s="260"/>
      <c r="H65" s="87"/>
    </row>
    <row r="66" spans="7:8" ht="14.25" customHeight="1">
      <c r="G66" s="259"/>
      <c r="H66" s="17"/>
    </row>
    <row r="67" spans="7:8" ht="14.25" customHeight="1">
      <c r="G67" s="259"/>
      <c r="H67" s="17"/>
    </row>
    <row r="68" spans="7:8" ht="14.25" customHeight="1">
      <c r="G68" s="259"/>
      <c r="H68" s="17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33">
    <mergeCell ref="D47:M47"/>
    <mergeCell ref="I10:M10"/>
    <mergeCell ref="I20:M20"/>
    <mergeCell ref="I50:M50"/>
    <mergeCell ref="J21:J22"/>
    <mergeCell ref="D4:M4"/>
    <mergeCell ref="I21:I22"/>
    <mergeCell ref="J17:L17"/>
    <mergeCell ref="M11:M12"/>
    <mergeCell ref="I11:I12"/>
    <mergeCell ref="D7:G7"/>
    <mergeCell ref="J63:L63"/>
    <mergeCell ref="O7:Q7"/>
    <mergeCell ref="L11:L12"/>
    <mergeCell ref="K11:K12"/>
    <mergeCell ref="J11:J12"/>
    <mergeCell ref="J27:L27"/>
    <mergeCell ref="M21:M22"/>
    <mergeCell ref="L21:L22"/>
    <mergeCell ref="K21:K22"/>
    <mergeCell ref="J55:L55"/>
    <mergeCell ref="I59:I60"/>
    <mergeCell ref="J59:J60"/>
    <mergeCell ref="K59:K60"/>
    <mergeCell ref="L59:L60"/>
    <mergeCell ref="M59:M60"/>
    <mergeCell ref="I58:M58"/>
    <mergeCell ref="D50:G50"/>
    <mergeCell ref="I51:I52"/>
    <mergeCell ref="J51:J52"/>
    <mergeCell ref="K51:K52"/>
    <mergeCell ref="L51:L52"/>
    <mergeCell ref="M51:M5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D4:R75"/>
  <sheetViews>
    <sheetView view="pageBreakPreview" zoomScaleSheetLayoutView="100" zoomScalePageLayoutView="0" workbookViewId="0" topLeftCell="A1">
      <selection activeCell="D4" sqref="D4:R4"/>
    </sheetView>
  </sheetViews>
  <sheetFormatPr defaultColWidth="9.140625" defaultRowHeight="12.75"/>
  <cols>
    <col min="4" max="4" width="4.7109375" style="0" bestFit="1" customWidth="1"/>
    <col min="5" max="5" width="10.28125" style="143" customWidth="1"/>
    <col min="6" max="7" width="9.7109375" style="143" customWidth="1"/>
    <col min="8" max="8" width="8.8515625" style="143" customWidth="1"/>
    <col min="9" max="9" width="9.140625" style="143" customWidth="1"/>
    <col min="10" max="10" width="8.8515625" style="143" customWidth="1"/>
    <col min="11" max="15" width="8.8515625" style="0" customWidth="1"/>
    <col min="16" max="16" width="4.7109375" style="0" customWidth="1"/>
    <col min="17" max="17" width="7.00390625" style="0" bestFit="1" customWidth="1"/>
    <col min="18" max="18" width="5.140625" style="0" bestFit="1" customWidth="1"/>
    <col min="23" max="23" width="10.28125" style="0" customWidth="1"/>
    <col min="24" max="26" width="8.8515625" style="0" customWidth="1"/>
    <col min="27" max="27" width="9.140625" style="0" customWidth="1"/>
    <col min="28" max="32" width="8.8515625" style="0" customWidth="1"/>
  </cols>
  <sheetData>
    <row r="4" spans="4:18" ht="15" customHeight="1">
      <c r="D4" s="411" t="s">
        <v>516</v>
      </c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</row>
    <row r="6" spans="4:18" ht="12.75">
      <c r="D6" s="147" t="s">
        <v>340</v>
      </c>
      <c r="E6" s="414" t="s">
        <v>341</v>
      </c>
      <c r="F6" s="414"/>
      <c r="G6" s="414"/>
      <c r="H6" s="414" t="s">
        <v>342</v>
      </c>
      <c r="I6" s="414"/>
      <c r="J6" s="414"/>
      <c r="K6" s="414" t="s">
        <v>343</v>
      </c>
      <c r="L6" s="414"/>
      <c r="M6" s="414"/>
      <c r="N6" s="414"/>
      <c r="O6" s="414"/>
      <c r="P6" s="414"/>
      <c r="Q6" s="147" t="s">
        <v>422</v>
      </c>
      <c r="R6" s="147" t="s">
        <v>423</v>
      </c>
    </row>
    <row r="7" spans="4:18" ht="12.75">
      <c r="D7" s="413" t="s">
        <v>344</v>
      </c>
      <c r="E7" s="412" t="s">
        <v>345</v>
      </c>
      <c r="F7" s="412"/>
      <c r="G7" s="412"/>
      <c r="H7" s="410" t="s">
        <v>346</v>
      </c>
      <c r="I7" s="410"/>
      <c r="J7" s="410"/>
      <c r="K7" s="400" t="s">
        <v>347</v>
      </c>
      <c r="L7" s="400"/>
      <c r="M7" s="400"/>
      <c r="N7" s="400"/>
      <c r="O7" s="400"/>
      <c r="P7" s="400"/>
      <c r="Q7" s="177">
        <v>3</v>
      </c>
      <c r="R7" s="148" t="s">
        <v>348</v>
      </c>
    </row>
    <row r="8" spans="4:18" ht="12.75">
      <c r="D8" s="413"/>
      <c r="E8" s="412"/>
      <c r="F8" s="412"/>
      <c r="G8" s="412"/>
      <c r="H8" s="410" t="s">
        <v>349</v>
      </c>
      <c r="I8" s="410"/>
      <c r="J8" s="410"/>
      <c r="K8" s="400" t="s">
        <v>350</v>
      </c>
      <c r="L8" s="400"/>
      <c r="M8" s="400"/>
      <c r="N8" s="400"/>
      <c r="O8" s="400"/>
      <c r="P8" s="400"/>
      <c r="Q8" s="177">
        <v>1</v>
      </c>
      <c r="R8" s="148" t="s">
        <v>348</v>
      </c>
    </row>
    <row r="9" spans="4:18" ht="12.75">
      <c r="D9" s="413"/>
      <c r="E9" s="412"/>
      <c r="F9" s="412"/>
      <c r="G9" s="412"/>
      <c r="H9" s="410" t="s">
        <v>351</v>
      </c>
      <c r="I9" s="410"/>
      <c r="J9" s="410"/>
      <c r="K9" s="400" t="s">
        <v>352</v>
      </c>
      <c r="L9" s="400"/>
      <c r="M9" s="400"/>
      <c r="N9" s="400"/>
      <c r="O9" s="400"/>
      <c r="P9" s="400"/>
      <c r="Q9" s="177">
        <v>43</v>
      </c>
      <c r="R9" s="148" t="s">
        <v>348</v>
      </c>
    </row>
    <row r="10" spans="4:18" ht="12.75">
      <c r="D10" s="413"/>
      <c r="E10" s="412"/>
      <c r="F10" s="412"/>
      <c r="G10" s="412"/>
      <c r="H10" s="410"/>
      <c r="I10" s="410"/>
      <c r="J10" s="410"/>
      <c r="K10" s="400" t="s">
        <v>353</v>
      </c>
      <c r="L10" s="400"/>
      <c r="M10" s="400"/>
      <c r="N10" s="400"/>
      <c r="O10" s="400"/>
      <c r="P10" s="400"/>
      <c r="Q10" s="177">
        <v>1</v>
      </c>
      <c r="R10" s="148" t="s">
        <v>348</v>
      </c>
    </row>
    <row r="11" spans="4:18" ht="12.75">
      <c r="D11" s="413"/>
      <c r="E11" s="412"/>
      <c r="F11" s="412"/>
      <c r="G11" s="412"/>
      <c r="H11" s="410" t="s">
        <v>354</v>
      </c>
      <c r="I11" s="410"/>
      <c r="J11" s="410"/>
      <c r="K11" s="400" t="s">
        <v>355</v>
      </c>
      <c r="L11" s="400"/>
      <c r="M11" s="400"/>
      <c r="N11" s="400"/>
      <c r="O11" s="400"/>
      <c r="P11" s="400"/>
      <c r="Q11" s="177">
        <v>29</v>
      </c>
      <c r="R11" s="148" t="s">
        <v>348</v>
      </c>
    </row>
    <row r="12" spans="4:18" ht="12.75" customHeight="1">
      <c r="D12" s="413"/>
      <c r="E12" s="412"/>
      <c r="F12" s="412"/>
      <c r="G12" s="412"/>
      <c r="H12" s="410" t="s">
        <v>356</v>
      </c>
      <c r="I12" s="410"/>
      <c r="J12" s="410"/>
      <c r="K12" s="400" t="s">
        <v>347</v>
      </c>
      <c r="L12" s="400"/>
      <c r="M12" s="400"/>
      <c r="N12" s="400"/>
      <c r="O12" s="400"/>
      <c r="P12" s="400"/>
      <c r="Q12" s="177">
        <v>3</v>
      </c>
      <c r="R12" s="148" t="s">
        <v>348</v>
      </c>
    </row>
    <row r="13" spans="4:18" ht="12.75">
      <c r="D13" s="413"/>
      <c r="E13" s="412"/>
      <c r="F13" s="412"/>
      <c r="G13" s="412"/>
      <c r="H13" s="410" t="s">
        <v>357</v>
      </c>
      <c r="I13" s="410"/>
      <c r="J13" s="410"/>
      <c r="K13" s="400" t="s">
        <v>350</v>
      </c>
      <c r="L13" s="400"/>
      <c r="M13" s="400"/>
      <c r="N13" s="400"/>
      <c r="O13" s="400"/>
      <c r="P13" s="400"/>
      <c r="Q13" s="177">
        <v>2</v>
      </c>
      <c r="R13" s="148" t="s">
        <v>348</v>
      </c>
    </row>
    <row r="14" spans="4:18" ht="12.75">
      <c r="D14" s="413"/>
      <c r="E14" s="412"/>
      <c r="F14" s="412"/>
      <c r="G14" s="412"/>
      <c r="H14" s="410" t="s">
        <v>358</v>
      </c>
      <c r="I14" s="410"/>
      <c r="J14" s="410"/>
      <c r="K14" s="400" t="s">
        <v>347</v>
      </c>
      <c r="L14" s="400"/>
      <c r="M14" s="400"/>
      <c r="N14" s="400"/>
      <c r="O14" s="400"/>
      <c r="P14" s="400"/>
      <c r="Q14" s="177">
        <v>6</v>
      </c>
      <c r="R14" s="148" t="s">
        <v>348</v>
      </c>
    </row>
    <row r="15" spans="4:18" ht="12.75" customHeight="1">
      <c r="D15" s="413"/>
      <c r="E15" s="412"/>
      <c r="F15" s="412"/>
      <c r="G15" s="412"/>
      <c r="H15" s="410" t="s">
        <v>359</v>
      </c>
      <c r="I15" s="410"/>
      <c r="J15" s="410"/>
      <c r="K15" s="400" t="s">
        <v>273</v>
      </c>
      <c r="L15" s="400"/>
      <c r="M15" s="400"/>
      <c r="N15" s="400"/>
      <c r="O15" s="400"/>
      <c r="P15" s="400"/>
      <c r="Q15" s="177">
        <v>17</v>
      </c>
      <c r="R15" s="148" t="s">
        <v>348</v>
      </c>
    </row>
    <row r="16" spans="4:18" ht="12.75">
      <c r="D16" s="413"/>
      <c r="E16" s="412"/>
      <c r="F16" s="412"/>
      <c r="G16" s="412"/>
      <c r="H16" s="410"/>
      <c r="I16" s="410"/>
      <c r="J16" s="410"/>
      <c r="K16" s="400" t="s">
        <v>305</v>
      </c>
      <c r="L16" s="400"/>
      <c r="M16" s="400"/>
      <c r="N16" s="400"/>
      <c r="O16" s="400"/>
      <c r="P16" s="400"/>
      <c r="Q16" s="177">
        <v>1</v>
      </c>
      <c r="R16" s="148" t="s">
        <v>348</v>
      </c>
    </row>
    <row r="17" spans="4:18" ht="12.75">
      <c r="D17" s="413"/>
      <c r="E17" s="412"/>
      <c r="F17" s="412"/>
      <c r="G17" s="412"/>
      <c r="H17" s="410"/>
      <c r="I17" s="410"/>
      <c r="J17" s="410"/>
      <c r="K17" s="400" t="s">
        <v>347</v>
      </c>
      <c r="L17" s="400"/>
      <c r="M17" s="400"/>
      <c r="N17" s="400"/>
      <c r="O17" s="400"/>
      <c r="P17" s="400"/>
      <c r="Q17" s="177">
        <v>4</v>
      </c>
      <c r="R17" s="148" t="s">
        <v>348</v>
      </c>
    </row>
    <row r="18" spans="4:18" ht="12.75">
      <c r="D18" s="413"/>
      <c r="E18" s="412"/>
      <c r="F18" s="412"/>
      <c r="G18" s="412"/>
      <c r="H18" s="410"/>
      <c r="I18" s="410"/>
      <c r="J18" s="410"/>
      <c r="K18" s="400" t="s">
        <v>306</v>
      </c>
      <c r="L18" s="400"/>
      <c r="M18" s="400"/>
      <c r="N18" s="400"/>
      <c r="O18" s="400"/>
      <c r="P18" s="400"/>
      <c r="Q18" s="177">
        <v>28</v>
      </c>
      <c r="R18" s="148" t="s">
        <v>348</v>
      </c>
    </row>
    <row r="19" spans="4:18" ht="12.75">
      <c r="D19" s="413"/>
      <c r="E19" s="412" t="s">
        <v>360</v>
      </c>
      <c r="F19" s="412"/>
      <c r="G19" s="412"/>
      <c r="H19" s="410" t="s">
        <v>361</v>
      </c>
      <c r="I19" s="410"/>
      <c r="J19" s="410"/>
      <c r="K19" s="400" t="s">
        <v>362</v>
      </c>
      <c r="L19" s="400"/>
      <c r="M19" s="400"/>
      <c r="N19" s="400"/>
      <c r="O19" s="400"/>
      <c r="P19" s="400"/>
      <c r="Q19" s="177">
        <v>4</v>
      </c>
      <c r="R19" s="148" t="s">
        <v>363</v>
      </c>
    </row>
    <row r="20" spans="4:18" ht="12.75" customHeight="1">
      <c r="D20" s="413"/>
      <c r="E20" s="412"/>
      <c r="F20" s="412"/>
      <c r="G20" s="412"/>
      <c r="H20" s="410" t="s">
        <v>364</v>
      </c>
      <c r="I20" s="410"/>
      <c r="J20" s="410"/>
      <c r="K20" s="400" t="s">
        <v>365</v>
      </c>
      <c r="L20" s="400"/>
      <c r="M20" s="400"/>
      <c r="N20" s="400"/>
      <c r="O20" s="400"/>
      <c r="P20" s="400"/>
      <c r="Q20" s="177">
        <v>96</v>
      </c>
      <c r="R20" s="148" t="s">
        <v>348</v>
      </c>
    </row>
    <row r="21" spans="4:18" ht="12.75">
      <c r="D21" s="413"/>
      <c r="E21" s="412"/>
      <c r="F21" s="412"/>
      <c r="G21" s="412"/>
      <c r="H21" s="410"/>
      <c r="I21" s="410"/>
      <c r="J21" s="410"/>
      <c r="K21" s="400" t="s">
        <v>366</v>
      </c>
      <c r="L21" s="400"/>
      <c r="M21" s="400"/>
      <c r="N21" s="400"/>
      <c r="O21" s="400"/>
      <c r="P21" s="400"/>
      <c r="Q21" s="177">
        <v>61</v>
      </c>
      <c r="R21" s="148" t="s">
        <v>348</v>
      </c>
    </row>
    <row r="22" spans="4:18" ht="12.75">
      <c r="D22" s="413"/>
      <c r="E22" s="412"/>
      <c r="F22" s="412"/>
      <c r="G22" s="412"/>
      <c r="H22" s="410" t="s">
        <v>367</v>
      </c>
      <c r="I22" s="410"/>
      <c r="J22" s="410"/>
      <c r="K22" s="400" t="s">
        <v>368</v>
      </c>
      <c r="L22" s="400"/>
      <c r="M22" s="400"/>
      <c r="N22" s="400"/>
      <c r="O22" s="400"/>
      <c r="P22" s="400"/>
      <c r="Q22" s="177">
        <v>1</v>
      </c>
      <c r="R22" s="148" t="s">
        <v>369</v>
      </c>
    </row>
    <row r="23" spans="4:18" ht="12.75">
      <c r="D23" s="413"/>
      <c r="E23" s="412"/>
      <c r="F23" s="412"/>
      <c r="G23" s="412"/>
      <c r="H23" s="410" t="s">
        <v>370</v>
      </c>
      <c r="I23" s="410"/>
      <c r="J23" s="410"/>
      <c r="K23" s="400" t="s">
        <v>371</v>
      </c>
      <c r="L23" s="400"/>
      <c r="M23" s="400"/>
      <c r="N23" s="400"/>
      <c r="O23" s="400"/>
      <c r="P23" s="400"/>
      <c r="Q23" s="177">
        <v>2</v>
      </c>
      <c r="R23" s="148" t="s">
        <v>348</v>
      </c>
    </row>
    <row r="24" spans="4:18" ht="12.75" customHeight="1">
      <c r="D24" s="413"/>
      <c r="E24" s="412"/>
      <c r="F24" s="412"/>
      <c r="G24" s="412"/>
      <c r="H24" s="410" t="s">
        <v>372</v>
      </c>
      <c r="I24" s="410"/>
      <c r="J24" s="410"/>
      <c r="K24" s="400" t="s">
        <v>373</v>
      </c>
      <c r="L24" s="400"/>
      <c r="M24" s="400"/>
      <c r="N24" s="400"/>
      <c r="O24" s="400"/>
      <c r="P24" s="400"/>
      <c r="Q24" s="177">
        <v>96</v>
      </c>
      <c r="R24" s="148" t="s">
        <v>348</v>
      </c>
    </row>
    <row r="25" spans="4:18" ht="12.75">
      <c r="D25" s="413"/>
      <c r="E25" s="412"/>
      <c r="F25" s="412"/>
      <c r="G25" s="412"/>
      <c r="H25" s="410"/>
      <c r="I25" s="410"/>
      <c r="J25" s="410"/>
      <c r="K25" s="400" t="s">
        <v>374</v>
      </c>
      <c r="L25" s="400"/>
      <c r="M25" s="400"/>
      <c r="N25" s="400"/>
      <c r="O25" s="400"/>
      <c r="P25" s="400"/>
      <c r="Q25" s="177">
        <v>61</v>
      </c>
      <c r="R25" s="148" t="s">
        <v>348</v>
      </c>
    </row>
    <row r="26" spans="4:18" ht="12.75" customHeight="1">
      <c r="D26" s="413"/>
      <c r="E26" s="412" t="s">
        <v>375</v>
      </c>
      <c r="F26" s="412"/>
      <c r="G26" s="412"/>
      <c r="H26" s="410" t="s">
        <v>376</v>
      </c>
      <c r="I26" s="410"/>
      <c r="J26" s="410"/>
      <c r="K26" s="400" t="s">
        <v>377</v>
      </c>
      <c r="L26" s="400"/>
      <c r="M26" s="400"/>
      <c r="N26" s="400"/>
      <c r="O26" s="400"/>
      <c r="P26" s="400"/>
      <c r="Q26" s="177">
        <v>63.7</v>
      </c>
      <c r="R26" s="148" t="s">
        <v>363</v>
      </c>
    </row>
    <row r="27" spans="4:18" ht="12.75">
      <c r="D27" s="413"/>
      <c r="E27" s="412"/>
      <c r="F27" s="412"/>
      <c r="G27" s="412"/>
      <c r="H27" s="410"/>
      <c r="I27" s="410"/>
      <c r="J27" s="410"/>
      <c r="K27" s="400" t="s">
        <v>378</v>
      </c>
      <c r="L27" s="400"/>
      <c r="M27" s="400"/>
      <c r="N27" s="400"/>
      <c r="O27" s="400"/>
      <c r="P27" s="400"/>
      <c r="Q27" s="177">
        <v>674.13</v>
      </c>
      <c r="R27" s="148" t="s">
        <v>363</v>
      </c>
    </row>
    <row r="28" spans="4:18" ht="12.75">
      <c r="D28" s="413"/>
      <c r="E28" s="412"/>
      <c r="F28" s="412"/>
      <c r="G28" s="412"/>
      <c r="H28" s="410"/>
      <c r="I28" s="410"/>
      <c r="J28" s="410"/>
      <c r="K28" s="400" t="s">
        <v>379</v>
      </c>
      <c r="L28" s="400"/>
      <c r="M28" s="400"/>
      <c r="N28" s="400"/>
      <c r="O28" s="400"/>
      <c r="P28" s="400"/>
      <c r="Q28" s="177">
        <v>254.56</v>
      </c>
      <c r="R28" s="148" t="s">
        <v>363</v>
      </c>
    </row>
    <row r="29" spans="4:18" ht="12.75">
      <c r="D29" s="413"/>
      <c r="E29" s="412"/>
      <c r="F29" s="412"/>
      <c r="G29" s="412"/>
      <c r="H29" s="410"/>
      <c r="I29" s="410"/>
      <c r="J29" s="410"/>
      <c r="K29" s="400" t="s">
        <v>380</v>
      </c>
      <c r="L29" s="400"/>
      <c r="M29" s="400"/>
      <c r="N29" s="400"/>
      <c r="O29" s="400"/>
      <c r="P29" s="400"/>
      <c r="Q29" s="177">
        <v>445.6</v>
      </c>
      <c r="R29" s="148" t="s">
        <v>363</v>
      </c>
    </row>
    <row r="30" spans="4:18" ht="12.75">
      <c r="D30" s="413"/>
      <c r="E30" s="412"/>
      <c r="F30" s="412"/>
      <c r="G30" s="412"/>
      <c r="H30" s="410"/>
      <c r="I30" s="410"/>
      <c r="J30" s="410"/>
      <c r="K30" s="400" t="s">
        <v>381</v>
      </c>
      <c r="L30" s="400"/>
      <c r="M30" s="400"/>
      <c r="N30" s="400"/>
      <c r="O30" s="400"/>
      <c r="P30" s="400"/>
      <c r="Q30" s="177">
        <v>718.9</v>
      </c>
      <c r="R30" s="148" t="s">
        <v>363</v>
      </c>
    </row>
    <row r="31" spans="4:18" ht="12.75">
      <c r="D31" s="413"/>
      <c r="E31" s="412" t="s">
        <v>382</v>
      </c>
      <c r="F31" s="412"/>
      <c r="G31" s="412"/>
      <c r="H31" s="410" t="s">
        <v>383</v>
      </c>
      <c r="I31" s="410"/>
      <c r="J31" s="410"/>
      <c r="K31" s="400" t="s">
        <v>384</v>
      </c>
      <c r="L31" s="400"/>
      <c r="M31" s="400"/>
      <c r="N31" s="400"/>
      <c r="O31" s="400"/>
      <c r="P31" s="400"/>
      <c r="Q31" s="177">
        <v>10</v>
      </c>
      <c r="R31" s="148" t="s">
        <v>348</v>
      </c>
    </row>
    <row r="32" spans="4:18" ht="12.75" customHeight="1">
      <c r="D32" s="413"/>
      <c r="E32" s="412" t="s">
        <v>385</v>
      </c>
      <c r="F32" s="412"/>
      <c r="G32" s="412"/>
      <c r="H32" s="401" t="s">
        <v>386</v>
      </c>
      <c r="I32" s="402"/>
      <c r="J32" s="403"/>
      <c r="K32" s="400" t="s">
        <v>387</v>
      </c>
      <c r="L32" s="400"/>
      <c r="M32" s="400"/>
      <c r="N32" s="400"/>
      <c r="O32" s="400"/>
      <c r="P32" s="400"/>
      <c r="Q32" s="177">
        <v>1</v>
      </c>
      <c r="R32" s="148" t="s">
        <v>348</v>
      </c>
    </row>
    <row r="33" spans="4:18" ht="12.75">
      <c r="D33" s="413"/>
      <c r="E33" s="412"/>
      <c r="F33" s="412"/>
      <c r="G33" s="412"/>
      <c r="H33" s="404"/>
      <c r="I33" s="405"/>
      <c r="J33" s="406"/>
      <c r="K33" s="400" t="s">
        <v>388</v>
      </c>
      <c r="L33" s="400"/>
      <c r="M33" s="400"/>
      <c r="N33" s="400"/>
      <c r="O33" s="400"/>
      <c r="P33" s="400"/>
      <c r="Q33" s="177">
        <v>1</v>
      </c>
      <c r="R33" s="148" t="s">
        <v>348</v>
      </c>
    </row>
    <row r="34" spans="4:18" ht="12.75">
      <c r="D34" s="413"/>
      <c r="E34" s="412"/>
      <c r="F34" s="412"/>
      <c r="G34" s="412"/>
      <c r="H34" s="404"/>
      <c r="I34" s="405"/>
      <c r="J34" s="406"/>
      <c r="K34" s="400" t="s">
        <v>389</v>
      </c>
      <c r="L34" s="400"/>
      <c r="M34" s="400"/>
      <c r="N34" s="400"/>
      <c r="O34" s="400"/>
      <c r="P34" s="400"/>
      <c r="Q34" s="177">
        <v>6</v>
      </c>
      <c r="R34" s="148" t="s">
        <v>348</v>
      </c>
    </row>
    <row r="35" spans="4:18" ht="12.75">
      <c r="D35" s="413"/>
      <c r="E35" s="412"/>
      <c r="F35" s="412"/>
      <c r="G35" s="412"/>
      <c r="H35" s="404"/>
      <c r="I35" s="405"/>
      <c r="J35" s="406"/>
      <c r="K35" s="400" t="s">
        <v>390</v>
      </c>
      <c r="L35" s="400"/>
      <c r="M35" s="400"/>
      <c r="N35" s="400"/>
      <c r="O35" s="400"/>
      <c r="P35" s="400"/>
      <c r="Q35" s="177">
        <v>2</v>
      </c>
      <c r="R35" s="148" t="s">
        <v>348</v>
      </c>
    </row>
    <row r="36" spans="4:18" ht="12.75">
      <c r="D36" s="413"/>
      <c r="E36" s="412"/>
      <c r="F36" s="412"/>
      <c r="G36" s="412"/>
      <c r="H36" s="404"/>
      <c r="I36" s="405"/>
      <c r="J36" s="406"/>
      <c r="K36" s="400" t="s">
        <v>391</v>
      </c>
      <c r="L36" s="400"/>
      <c r="M36" s="400"/>
      <c r="N36" s="400"/>
      <c r="O36" s="400"/>
      <c r="P36" s="400"/>
      <c r="Q36" s="177">
        <v>1</v>
      </c>
      <c r="R36" s="148" t="s">
        <v>348</v>
      </c>
    </row>
    <row r="37" spans="4:18" ht="12.75">
      <c r="D37" s="413"/>
      <c r="E37" s="412"/>
      <c r="F37" s="412"/>
      <c r="G37" s="412"/>
      <c r="H37" s="404"/>
      <c r="I37" s="405"/>
      <c r="J37" s="406"/>
      <c r="K37" s="400" t="s">
        <v>392</v>
      </c>
      <c r="L37" s="400"/>
      <c r="M37" s="400"/>
      <c r="N37" s="400"/>
      <c r="O37" s="400"/>
      <c r="P37" s="400"/>
      <c r="Q37" s="177">
        <v>30</v>
      </c>
      <c r="R37" s="148" t="s">
        <v>348</v>
      </c>
    </row>
    <row r="38" spans="4:18" ht="12.75">
      <c r="D38" s="413"/>
      <c r="E38" s="412"/>
      <c r="F38" s="412"/>
      <c r="G38" s="412"/>
      <c r="H38" s="404"/>
      <c r="I38" s="405"/>
      <c r="J38" s="406"/>
      <c r="K38" s="400" t="s">
        <v>393</v>
      </c>
      <c r="L38" s="400"/>
      <c r="M38" s="400"/>
      <c r="N38" s="400"/>
      <c r="O38" s="400"/>
      <c r="P38" s="400"/>
      <c r="Q38" s="177">
        <v>2</v>
      </c>
      <c r="R38" s="148" t="s">
        <v>348</v>
      </c>
    </row>
    <row r="39" spans="4:18" ht="12.75">
      <c r="D39" s="413"/>
      <c r="E39" s="412"/>
      <c r="F39" s="412"/>
      <c r="G39" s="412"/>
      <c r="H39" s="404"/>
      <c r="I39" s="405"/>
      <c r="J39" s="406"/>
      <c r="K39" s="400" t="s">
        <v>394</v>
      </c>
      <c r="L39" s="400"/>
      <c r="M39" s="400"/>
      <c r="N39" s="400"/>
      <c r="O39" s="400"/>
      <c r="P39" s="400"/>
      <c r="Q39" s="177">
        <v>2</v>
      </c>
      <c r="R39" s="148" t="s">
        <v>348</v>
      </c>
    </row>
    <row r="40" spans="4:18" ht="12.75">
      <c r="D40" s="413"/>
      <c r="E40" s="412"/>
      <c r="F40" s="412"/>
      <c r="G40" s="412"/>
      <c r="H40" s="404"/>
      <c r="I40" s="405"/>
      <c r="J40" s="406"/>
      <c r="K40" s="400" t="s">
        <v>524</v>
      </c>
      <c r="L40" s="400"/>
      <c r="M40" s="400"/>
      <c r="N40" s="400"/>
      <c r="O40" s="400"/>
      <c r="P40" s="400"/>
      <c r="Q40" s="177">
        <v>20</v>
      </c>
      <c r="R40" s="243" t="s">
        <v>348</v>
      </c>
    </row>
    <row r="41" spans="4:18" ht="12.75">
      <c r="D41" s="413"/>
      <c r="E41" s="412"/>
      <c r="F41" s="412"/>
      <c r="G41" s="412"/>
      <c r="H41" s="404"/>
      <c r="I41" s="405"/>
      <c r="J41" s="406"/>
      <c r="K41" s="400" t="s">
        <v>525</v>
      </c>
      <c r="L41" s="400"/>
      <c r="M41" s="400"/>
      <c r="N41" s="400"/>
      <c r="O41" s="400"/>
      <c r="P41" s="400"/>
      <c r="Q41" s="177">
        <v>6</v>
      </c>
      <c r="R41" s="243" t="s">
        <v>348</v>
      </c>
    </row>
    <row r="42" spans="4:18" ht="12.75">
      <c r="D42" s="413"/>
      <c r="E42" s="412"/>
      <c r="F42" s="412"/>
      <c r="G42" s="412"/>
      <c r="H42" s="404"/>
      <c r="I42" s="405"/>
      <c r="J42" s="406"/>
      <c r="K42" s="400" t="s">
        <v>526</v>
      </c>
      <c r="L42" s="400"/>
      <c r="M42" s="400"/>
      <c r="N42" s="400"/>
      <c r="O42" s="400"/>
      <c r="P42" s="400"/>
      <c r="Q42" s="177">
        <v>4</v>
      </c>
      <c r="R42" s="243" t="s">
        <v>348</v>
      </c>
    </row>
    <row r="43" spans="4:18" ht="12.75">
      <c r="D43" s="413"/>
      <c r="E43" s="412"/>
      <c r="F43" s="412"/>
      <c r="G43" s="412"/>
      <c r="H43" s="407"/>
      <c r="I43" s="408"/>
      <c r="J43" s="409"/>
      <c r="K43" s="400" t="s">
        <v>527</v>
      </c>
      <c r="L43" s="400"/>
      <c r="M43" s="400"/>
      <c r="N43" s="400"/>
      <c r="O43" s="400"/>
      <c r="P43" s="400"/>
      <c r="Q43" s="177">
        <v>1</v>
      </c>
      <c r="R43" s="148" t="s">
        <v>348</v>
      </c>
    </row>
    <row r="44" spans="4:18" ht="12.75" customHeight="1">
      <c r="D44" s="413"/>
      <c r="E44" s="412" t="s">
        <v>395</v>
      </c>
      <c r="F44" s="412"/>
      <c r="G44" s="412"/>
      <c r="H44" s="410" t="s">
        <v>396</v>
      </c>
      <c r="I44" s="410"/>
      <c r="J44" s="410"/>
      <c r="K44" s="400" t="s">
        <v>397</v>
      </c>
      <c r="L44" s="400"/>
      <c r="M44" s="400"/>
      <c r="N44" s="400"/>
      <c r="O44" s="400"/>
      <c r="P44" s="400"/>
      <c r="Q44" s="177">
        <v>2</v>
      </c>
      <c r="R44" s="148" t="s">
        <v>348</v>
      </c>
    </row>
    <row r="45" spans="4:18" ht="12.75">
      <c r="D45" s="413"/>
      <c r="E45" s="412"/>
      <c r="F45" s="412"/>
      <c r="G45" s="412"/>
      <c r="H45" s="410"/>
      <c r="I45" s="410"/>
      <c r="J45" s="410"/>
      <c r="K45" s="400" t="s">
        <v>398</v>
      </c>
      <c r="L45" s="400"/>
      <c r="M45" s="400"/>
      <c r="N45" s="400"/>
      <c r="O45" s="400"/>
      <c r="P45" s="400"/>
      <c r="Q45" s="177">
        <v>3</v>
      </c>
      <c r="R45" s="148" t="s">
        <v>348</v>
      </c>
    </row>
    <row r="46" spans="4:18" ht="12.75" customHeight="1">
      <c r="D46" s="413"/>
      <c r="E46" s="412"/>
      <c r="F46" s="412"/>
      <c r="G46" s="412"/>
      <c r="H46" s="410" t="s">
        <v>399</v>
      </c>
      <c r="I46" s="410"/>
      <c r="J46" s="410"/>
      <c r="K46" s="400" t="s">
        <v>421</v>
      </c>
      <c r="L46" s="400"/>
      <c r="M46" s="400"/>
      <c r="N46" s="400"/>
      <c r="O46" s="400"/>
      <c r="P46" s="400"/>
      <c r="Q46" s="177">
        <v>8</v>
      </c>
      <c r="R46" s="148" t="s">
        <v>348</v>
      </c>
    </row>
    <row r="47" spans="4:18" ht="12.75">
      <c r="D47" s="413"/>
      <c r="E47" s="412"/>
      <c r="F47" s="412"/>
      <c r="G47" s="412"/>
      <c r="H47" s="410"/>
      <c r="I47" s="410"/>
      <c r="J47" s="410"/>
      <c r="K47" s="400" t="s">
        <v>398</v>
      </c>
      <c r="L47" s="400"/>
      <c r="M47" s="400"/>
      <c r="N47" s="400"/>
      <c r="O47" s="400"/>
      <c r="P47" s="400"/>
      <c r="Q47" s="177">
        <v>4</v>
      </c>
      <c r="R47" s="148" t="s">
        <v>348</v>
      </c>
    </row>
    <row r="48" spans="4:18" ht="12.75" customHeight="1">
      <c r="D48" s="413"/>
      <c r="E48" s="412" t="s">
        <v>400</v>
      </c>
      <c r="F48" s="412"/>
      <c r="G48" s="412"/>
      <c r="H48" s="410" t="s">
        <v>401</v>
      </c>
      <c r="I48" s="410"/>
      <c r="J48" s="410"/>
      <c r="K48" s="400" t="s">
        <v>273</v>
      </c>
      <c r="L48" s="400"/>
      <c r="M48" s="400"/>
      <c r="N48" s="400"/>
      <c r="O48" s="400"/>
      <c r="P48" s="400"/>
      <c r="Q48" s="177">
        <v>1.9</v>
      </c>
      <c r="R48" s="148" t="s">
        <v>363</v>
      </c>
    </row>
    <row r="49" spans="4:18" ht="12.75">
      <c r="D49" s="413"/>
      <c r="E49" s="412"/>
      <c r="F49" s="412"/>
      <c r="G49" s="412"/>
      <c r="H49" s="410"/>
      <c r="I49" s="410"/>
      <c r="J49" s="410"/>
      <c r="K49" s="400" t="s">
        <v>306</v>
      </c>
      <c r="L49" s="400"/>
      <c r="M49" s="400"/>
      <c r="N49" s="400"/>
      <c r="O49" s="400"/>
      <c r="P49" s="400"/>
      <c r="Q49" s="177">
        <v>200</v>
      </c>
      <c r="R49" s="148" t="s">
        <v>363</v>
      </c>
    </row>
    <row r="50" spans="4:18" ht="12.75" customHeight="1">
      <c r="D50" s="413"/>
      <c r="E50" s="412" t="s">
        <v>402</v>
      </c>
      <c r="F50" s="412"/>
      <c r="G50" s="412"/>
      <c r="H50" s="410" t="s">
        <v>403</v>
      </c>
      <c r="I50" s="410"/>
      <c r="J50" s="410"/>
      <c r="K50" s="400" t="s">
        <v>305</v>
      </c>
      <c r="L50" s="400"/>
      <c r="M50" s="400"/>
      <c r="N50" s="400"/>
      <c r="O50" s="400"/>
      <c r="P50" s="400"/>
      <c r="Q50" s="177">
        <v>4</v>
      </c>
      <c r="R50" s="148" t="s">
        <v>348</v>
      </c>
    </row>
    <row r="51" spans="4:18" ht="12.75">
      <c r="D51" s="413"/>
      <c r="E51" s="412"/>
      <c r="F51" s="412"/>
      <c r="G51" s="412"/>
      <c r="H51" s="410"/>
      <c r="I51" s="410"/>
      <c r="J51" s="410"/>
      <c r="K51" s="400" t="s">
        <v>404</v>
      </c>
      <c r="L51" s="400"/>
      <c r="M51" s="400"/>
      <c r="N51" s="400"/>
      <c r="O51" s="400"/>
      <c r="P51" s="400"/>
      <c r="Q51" s="177">
        <v>57</v>
      </c>
      <c r="R51" s="148" t="s">
        <v>348</v>
      </c>
    </row>
    <row r="52" spans="4:18" ht="12.75">
      <c r="D52" s="413"/>
      <c r="E52" s="412"/>
      <c r="F52" s="412"/>
      <c r="G52" s="412"/>
      <c r="H52" s="410"/>
      <c r="I52" s="410"/>
      <c r="J52" s="410"/>
      <c r="K52" s="400" t="s">
        <v>306</v>
      </c>
      <c r="L52" s="400"/>
      <c r="M52" s="400"/>
      <c r="N52" s="400"/>
      <c r="O52" s="400"/>
      <c r="P52" s="400"/>
      <c r="Q52" s="177">
        <v>96</v>
      </c>
      <c r="R52" s="148" t="s">
        <v>348</v>
      </c>
    </row>
    <row r="53" spans="4:18" ht="12.75" customHeight="1">
      <c r="D53" s="413"/>
      <c r="E53" s="412"/>
      <c r="F53" s="412"/>
      <c r="G53" s="412"/>
      <c r="H53" s="410" t="s">
        <v>405</v>
      </c>
      <c r="I53" s="410"/>
      <c r="J53" s="410"/>
      <c r="K53" s="400" t="s">
        <v>305</v>
      </c>
      <c r="L53" s="400"/>
      <c r="M53" s="400"/>
      <c r="N53" s="400"/>
      <c r="O53" s="400"/>
      <c r="P53" s="400"/>
      <c r="Q53" s="177">
        <v>5.1</v>
      </c>
      <c r="R53" s="148" t="s">
        <v>363</v>
      </c>
    </row>
    <row r="54" spans="4:18" ht="12.75">
      <c r="D54" s="413"/>
      <c r="E54" s="412"/>
      <c r="F54" s="412"/>
      <c r="G54" s="412"/>
      <c r="H54" s="410"/>
      <c r="I54" s="410"/>
      <c r="J54" s="410"/>
      <c r="K54" s="400" t="s">
        <v>347</v>
      </c>
      <c r="L54" s="400"/>
      <c r="M54" s="400"/>
      <c r="N54" s="400"/>
      <c r="O54" s="400"/>
      <c r="P54" s="400"/>
      <c r="Q54" s="177">
        <v>2</v>
      </c>
      <c r="R54" s="148" t="s">
        <v>363</v>
      </c>
    </row>
    <row r="55" spans="4:18" ht="12.75">
      <c r="D55" s="413"/>
      <c r="E55" s="412"/>
      <c r="F55" s="412"/>
      <c r="G55" s="412"/>
      <c r="H55" s="410"/>
      <c r="I55" s="410"/>
      <c r="J55" s="410"/>
      <c r="K55" s="400" t="s">
        <v>404</v>
      </c>
      <c r="L55" s="400"/>
      <c r="M55" s="400"/>
      <c r="N55" s="400"/>
      <c r="O55" s="400"/>
      <c r="P55" s="400"/>
      <c r="Q55" s="177">
        <v>58.6</v>
      </c>
      <c r="R55" s="148" t="s">
        <v>363</v>
      </c>
    </row>
    <row r="56" spans="4:18" ht="12.75">
      <c r="D56" s="413"/>
      <c r="E56" s="412"/>
      <c r="F56" s="412"/>
      <c r="G56" s="412"/>
      <c r="H56" s="410"/>
      <c r="I56" s="410"/>
      <c r="J56" s="410"/>
      <c r="K56" s="400" t="s">
        <v>306</v>
      </c>
      <c r="L56" s="400"/>
      <c r="M56" s="400"/>
      <c r="N56" s="400"/>
      <c r="O56" s="400"/>
      <c r="P56" s="400"/>
      <c r="Q56" s="177">
        <v>100.2</v>
      </c>
      <c r="R56" s="148" t="s">
        <v>363</v>
      </c>
    </row>
    <row r="57" spans="4:18" ht="25.5" customHeight="1">
      <c r="D57" s="413"/>
      <c r="E57" s="412" t="s">
        <v>406</v>
      </c>
      <c r="F57" s="412"/>
      <c r="G57" s="412"/>
      <c r="H57" s="410" t="s">
        <v>407</v>
      </c>
      <c r="I57" s="410"/>
      <c r="J57" s="410"/>
      <c r="K57" s="400" t="s">
        <v>530</v>
      </c>
      <c r="L57" s="400"/>
      <c r="M57" s="400"/>
      <c r="N57" s="400"/>
      <c r="O57" s="400"/>
      <c r="P57" s="400"/>
      <c r="Q57" s="177">
        <v>24</v>
      </c>
      <c r="R57" s="148" t="s">
        <v>348</v>
      </c>
    </row>
    <row r="58" spans="4:18" ht="25.5" customHeight="1">
      <c r="D58" s="413"/>
      <c r="E58" s="412"/>
      <c r="F58" s="412"/>
      <c r="G58" s="412"/>
      <c r="H58" s="410" t="s">
        <v>408</v>
      </c>
      <c r="I58" s="410"/>
      <c r="J58" s="410"/>
      <c r="K58" s="400" t="s">
        <v>529</v>
      </c>
      <c r="L58" s="400"/>
      <c r="M58" s="400"/>
      <c r="N58" s="400"/>
      <c r="O58" s="400"/>
      <c r="P58" s="400"/>
      <c r="Q58" s="177">
        <v>4</v>
      </c>
      <c r="R58" s="148" t="s">
        <v>348</v>
      </c>
    </row>
    <row r="59" spans="4:18" ht="25.5" customHeight="1">
      <c r="D59" s="413"/>
      <c r="E59" s="412"/>
      <c r="F59" s="412"/>
      <c r="G59" s="412"/>
      <c r="H59" s="410" t="s">
        <v>409</v>
      </c>
      <c r="I59" s="410"/>
      <c r="J59" s="410"/>
      <c r="K59" s="400" t="s">
        <v>410</v>
      </c>
      <c r="L59" s="400"/>
      <c r="M59" s="400"/>
      <c r="N59" s="400"/>
      <c r="O59" s="400"/>
      <c r="P59" s="400"/>
      <c r="Q59" s="177">
        <v>24</v>
      </c>
      <c r="R59" s="148" t="s">
        <v>348</v>
      </c>
    </row>
    <row r="60" spans="4:18" ht="12.75">
      <c r="D60" s="413"/>
      <c r="E60" s="412"/>
      <c r="F60" s="412"/>
      <c r="G60" s="412"/>
      <c r="H60" s="410" t="s">
        <v>411</v>
      </c>
      <c r="I60" s="410"/>
      <c r="J60" s="410"/>
      <c r="K60" s="400" t="s">
        <v>412</v>
      </c>
      <c r="L60" s="400"/>
      <c r="M60" s="400"/>
      <c r="N60" s="400"/>
      <c r="O60" s="400"/>
      <c r="P60" s="400"/>
      <c r="Q60" s="177">
        <v>96</v>
      </c>
      <c r="R60" s="148" t="s">
        <v>348</v>
      </c>
    </row>
    <row r="61" spans="4:18" ht="12.75">
      <c r="D61" s="413"/>
      <c r="E61" s="412"/>
      <c r="F61" s="412"/>
      <c r="G61" s="412"/>
      <c r="H61" s="410"/>
      <c r="I61" s="410"/>
      <c r="J61" s="410"/>
      <c r="K61" s="400" t="s">
        <v>413</v>
      </c>
      <c r="L61" s="400"/>
      <c r="M61" s="400"/>
      <c r="N61" s="400"/>
      <c r="O61" s="400"/>
      <c r="P61" s="400"/>
      <c r="Q61" s="177">
        <v>4</v>
      </c>
      <c r="R61" s="148" t="s">
        <v>348</v>
      </c>
    </row>
    <row r="62" spans="4:18" ht="12.75">
      <c r="D62" s="413"/>
      <c r="E62" s="412"/>
      <c r="F62" s="412"/>
      <c r="G62" s="412"/>
      <c r="H62" s="410" t="s">
        <v>414</v>
      </c>
      <c r="I62" s="410"/>
      <c r="J62" s="410"/>
      <c r="K62" s="400" t="s">
        <v>415</v>
      </c>
      <c r="L62" s="400"/>
      <c r="M62" s="400"/>
      <c r="N62" s="400"/>
      <c r="O62" s="400"/>
      <c r="P62" s="400"/>
      <c r="Q62" s="177">
        <v>4</v>
      </c>
      <c r="R62" s="148" t="s">
        <v>348</v>
      </c>
    </row>
    <row r="63" spans="4:18" ht="25.5" customHeight="1">
      <c r="D63" s="413"/>
      <c r="E63" s="412" t="s">
        <v>416</v>
      </c>
      <c r="F63" s="412"/>
      <c r="G63" s="412"/>
      <c r="H63" s="410" t="s">
        <v>417</v>
      </c>
      <c r="I63" s="410"/>
      <c r="J63" s="410"/>
      <c r="K63" s="400" t="s">
        <v>531</v>
      </c>
      <c r="L63" s="400"/>
      <c r="M63" s="400"/>
      <c r="N63" s="400"/>
      <c r="O63" s="400"/>
      <c r="P63" s="400"/>
      <c r="Q63" s="177">
        <v>4</v>
      </c>
      <c r="R63" s="148" t="s">
        <v>348</v>
      </c>
    </row>
    <row r="64" spans="4:18" ht="12.75">
      <c r="D64" s="413"/>
      <c r="E64" s="412"/>
      <c r="F64" s="412"/>
      <c r="G64" s="412"/>
      <c r="H64" s="410" t="s">
        <v>418</v>
      </c>
      <c r="I64" s="410"/>
      <c r="J64" s="410"/>
      <c r="K64" s="400" t="s">
        <v>528</v>
      </c>
      <c r="L64" s="400"/>
      <c r="M64" s="400"/>
      <c r="N64" s="400"/>
      <c r="O64" s="400"/>
      <c r="P64" s="400"/>
      <c r="Q64" s="177">
        <v>48</v>
      </c>
      <c r="R64" s="148" t="s">
        <v>348</v>
      </c>
    </row>
    <row r="65" spans="4:18" ht="12.75">
      <c r="D65" s="413"/>
      <c r="E65" s="412" t="s">
        <v>419</v>
      </c>
      <c r="F65" s="412"/>
      <c r="G65" s="412"/>
      <c r="H65" s="410" t="s">
        <v>420</v>
      </c>
      <c r="I65" s="410"/>
      <c r="J65" s="410"/>
      <c r="K65" s="400" t="s">
        <v>437</v>
      </c>
      <c r="L65" s="400"/>
      <c r="M65" s="400"/>
      <c r="N65" s="400"/>
      <c r="O65" s="400"/>
      <c r="P65" s="400"/>
      <c r="Q65" s="177">
        <v>4</v>
      </c>
      <c r="R65" s="148" t="s">
        <v>348</v>
      </c>
    </row>
    <row r="68" spans="5:14" ht="15" customHeight="1">
      <c r="E68" s="390" t="s">
        <v>435</v>
      </c>
      <c r="F68" s="390"/>
      <c r="G68" s="390"/>
      <c r="H68" s="390"/>
      <c r="I68" s="390"/>
      <c r="J68" s="390" t="s">
        <v>436</v>
      </c>
      <c r="K68" s="390"/>
      <c r="L68" s="390"/>
      <c r="M68" s="390"/>
      <c r="N68" s="390"/>
    </row>
    <row r="69" spans="5:14" ht="38.25">
      <c r="E69" s="149" t="s">
        <v>15</v>
      </c>
      <c r="F69" s="149" t="s">
        <v>16</v>
      </c>
      <c r="G69" s="149" t="s">
        <v>17</v>
      </c>
      <c r="H69" s="149" t="s">
        <v>18</v>
      </c>
      <c r="I69" s="149" t="s">
        <v>19</v>
      </c>
      <c r="J69" s="149" t="s">
        <v>16</v>
      </c>
      <c r="K69" s="149" t="s">
        <v>11</v>
      </c>
      <c r="L69" s="149" t="s">
        <v>20</v>
      </c>
      <c r="M69" s="149" t="s">
        <v>24</v>
      </c>
      <c r="N69" s="149" t="s">
        <v>22</v>
      </c>
    </row>
    <row r="70" spans="5:14" ht="15" customHeight="1">
      <c r="E70" s="150">
        <v>25</v>
      </c>
      <c r="F70" s="67">
        <v>100.2</v>
      </c>
      <c r="G70" s="68">
        <v>0.3</v>
      </c>
      <c r="H70" s="55">
        <v>0.5</v>
      </c>
      <c r="I70" s="172">
        <f>F70*G70*H70</f>
        <v>15.03</v>
      </c>
      <c r="J70" s="55">
        <f>F70</f>
        <v>100.2</v>
      </c>
      <c r="K70" s="69">
        <f>PI()</f>
        <v>3.141592653589793</v>
      </c>
      <c r="L70" s="70">
        <f>(E70/2)/1000</f>
        <v>0.0125</v>
      </c>
      <c r="M70" s="69">
        <f>K70*L70^2*J70</f>
        <v>0.049185559982765206</v>
      </c>
      <c r="N70" s="173">
        <f>I70-M70</f>
        <v>14.980814440017234</v>
      </c>
    </row>
    <row r="71" spans="5:14" ht="15" customHeight="1">
      <c r="E71" s="150">
        <v>40</v>
      </c>
      <c r="F71" s="67">
        <v>2</v>
      </c>
      <c r="G71" s="68">
        <v>0.3</v>
      </c>
      <c r="H71" s="55">
        <v>0.5</v>
      </c>
      <c r="I71" s="172">
        <f>F71*G71*H71</f>
        <v>0.3</v>
      </c>
      <c r="J71" s="55">
        <f>F71</f>
        <v>2</v>
      </c>
      <c r="K71" s="69">
        <f>PI()</f>
        <v>3.141592653589793</v>
      </c>
      <c r="L71" s="70">
        <f>(E71/2)/1000</f>
        <v>0.02</v>
      </c>
      <c r="M71" s="69">
        <f>K71*L71^2*J71</f>
        <v>0.0025132741228718345</v>
      </c>
      <c r="N71" s="173">
        <f>I71-M71</f>
        <v>0.29748672587712816</v>
      </c>
    </row>
    <row r="72" spans="5:14" ht="15">
      <c r="E72" s="150">
        <v>50</v>
      </c>
      <c r="F72" s="67">
        <v>5.1</v>
      </c>
      <c r="G72" s="68">
        <v>0.3</v>
      </c>
      <c r="H72" s="55">
        <v>0.5</v>
      </c>
      <c r="I72" s="172">
        <f>F72*G72*H72</f>
        <v>0.7649999999999999</v>
      </c>
      <c r="J72" s="55">
        <f>F72</f>
        <v>5.1</v>
      </c>
      <c r="K72" s="69">
        <f>PI()</f>
        <v>3.141592653589793</v>
      </c>
      <c r="L72" s="70">
        <f>(E72/2)/1000</f>
        <v>0.025</v>
      </c>
      <c r="M72" s="69">
        <f>K72*L72^2*J72</f>
        <v>0.010013826583317465</v>
      </c>
      <c r="N72" s="173">
        <f>I72-M72</f>
        <v>0.7549861734166824</v>
      </c>
    </row>
    <row r="73" spans="5:14" ht="12.75">
      <c r="E73" s="150">
        <v>60</v>
      </c>
      <c r="F73" s="71">
        <v>60</v>
      </c>
      <c r="G73" s="68">
        <v>0.3</v>
      </c>
      <c r="H73" s="55">
        <v>0.5</v>
      </c>
      <c r="I73" s="172">
        <f>F73*G73*H73</f>
        <v>9</v>
      </c>
      <c r="J73" s="55">
        <f>F73</f>
        <v>60</v>
      </c>
      <c r="K73" s="69">
        <f>PI()</f>
        <v>3.141592653589793</v>
      </c>
      <c r="L73" s="70">
        <f>(E73/2)/1000</f>
        <v>0.03</v>
      </c>
      <c r="M73" s="69">
        <f>K73*L73^2*J73</f>
        <v>0.16964600329384882</v>
      </c>
      <c r="N73" s="173">
        <f>I73-M73</f>
        <v>8.830353996706151</v>
      </c>
    </row>
    <row r="74" spans="5:14" ht="12.75">
      <c r="E74" s="66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5:14" ht="12.75">
      <c r="E75" s="66"/>
      <c r="F75" s="263" t="s">
        <v>21</v>
      </c>
      <c r="G75" s="263"/>
      <c r="H75" s="263"/>
      <c r="I75" s="175">
        <f>ROUND(SUM(I70:I73),2)</f>
        <v>25.1</v>
      </c>
      <c r="J75" s="66"/>
      <c r="K75" s="263" t="s">
        <v>23</v>
      </c>
      <c r="L75" s="263"/>
      <c r="M75" s="263"/>
      <c r="N75" s="174">
        <f>ROUND(SUM(N70:N73),2)</f>
        <v>24.86</v>
      </c>
    </row>
  </sheetData>
  <sheetProtection/>
  <mergeCells count="108">
    <mergeCell ref="K63:P63"/>
    <mergeCell ref="K64:P64"/>
    <mergeCell ref="K65:P65"/>
    <mergeCell ref="K6:P6"/>
    <mergeCell ref="F75:H75"/>
    <mergeCell ref="K75:M75"/>
    <mergeCell ref="K53:P53"/>
    <mergeCell ref="K54:P54"/>
    <mergeCell ref="K55:P55"/>
    <mergeCell ref="K56:P56"/>
    <mergeCell ref="K57:P57"/>
    <mergeCell ref="K58:P58"/>
    <mergeCell ref="K47:P47"/>
    <mergeCell ref="K48:P48"/>
    <mergeCell ref="K49:P49"/>
    <mergeCell ref="K50:P50"/>
    <mergeCell ref="K51:P51"/>
    <mergeCell ref="K52:P52"/>
    <mergeCell ref="K39:P39"/>
    <mergeCell ref="K43:P43"/>
    <mergeCell ref="K44:P44"/>
    <mergeCell ref="K45:P45"/>
    <mergeCell ref="K46:P46"/>
    <mergeCell ref="K33:P33"/>
    <mergeCell ref="K34:P34"/>
    <mergeCell ref="K35:P35"/>
    <mergeCell ref="K36:P36"/>
    <mergeCell ref="K37:P37"/>
    <mergeCell ref="K27:P27"/>
    <mergeCell ref="K28:P28"/>
    <mergeCell ref="K29:P29"/>
    <mergeCell ref="K30:P30"/>
    <mergeCell ref="K31:P31"/>
    <mergeCell ref="K32:P32"/>
    <mergeCell ref="H63:J63"/>
    <mergeCell ref="H64:J64"/>
    <mergeCell ref="H65:J65"/>
    <mergeCell ref="K21:P21"/>
    <mergeCell ref="K22:P22"/>
    <mergeCell ref="K23:P23"/>
    <mergeCell ref="K24:P24"/>
    <mergeCell ref="K25:P25"/>
    <mergeCell ref="K26:P26"/>
    <mergeCell ref="K38:P38"/>
    <mergeCell ref="H50:J52"/>
    <mergeCell ref="H53:J56"/>
    <mergeCell ref="H57:J57"/>
    <mergeCell ref="H59:J59"/>
    <mergeCell ref="H60:J61"/>
    <mergeCell ref="H62:J62"/>
    <mergeCell ref="H24:J25"/>
    <mergeCell ref="H26:J30"/>
    <mergeCell ref="H31:J31"/>
    <mergeCell ref="H44:J45"/>
    <mergeCell ref="H46:J47"/>
    <mergeCell ref="H48:J49"/>
    <mergeCell ref="H12:J12"/>
    <mergeCell ref="H6:J6"/>
    <mergeCell ref="E7:G18"/>
    <mergeCell ref="H13:J13"/>
    <mergeCell ref="H14:J14"/>
    <mergeCell ref="H15:J18"/>
    <mergeCell ref="E26:G30"/>
    <mergeCell ref="E31:G31"/>
    <mergeCell ref="E32:G43"/>
    <mergeCell ref="E44:G47"/>
    <mergeCell ref="E48:G49"/>
    <mergeCell ref="E6:G6"/>
    <mergeCell ref="E50:G56"/>
    <mergeCell ref="E68:I68"/>
    <mergeCell ref="J68:N68"/>
    <mergeCell ref="E57:G62"/>
    <mergeCell ref="E63:G64"/>
    <mergeCell ref="E65:G65"/>
    <mergeCell ref="H58:J58"/>
    <mergeCell ref="K59:P59"/>
    <mergeCell ref="K60:P60"/>
    <mergeCell ref="K61:P61"/>
    <mergeCell ref="K62:P62"/>
    <mergeCell ref="D7:D65"/>
    <mergeCell ref="K9:P9"/>
    <mergeCell ref="K8:P8"/>
    <mergeCell ref="K7:P7"/>
    <mergeCell ref="K10:P10"/>
    <mergeCell ref="K11:P11"/>
    <mergeCell ref="K12:P12"/>
    <mergeCell ref="K13:P13"/>
    <mergeCell ref="K14:P14"/>
    <mergeCell ref="D4:R4"/>
    <mergeCell ref="K16:P16"/>
    <mergeCell ref="K17:P17"/>
    <mergeCell ref="K18:P18"/>
    <mergeCell ref="K19:P19"/>
    <mergeCell ref="E19:G25"/>
    <mergeCell ref="H7:J7"/>
    <mergeCell ref="H8:J8"/>
    <mergeCell ref="H9:J10"/>
    <mergeCell ref="H11:J11"/>
    <mergeCell ref="K40:P40"/>
    <mergeCell ref="K41:P41"/>
    <mergeCell ref="K42:P42"/>
    <mergeCell ref="H32:J43"/>
    <mergeCell ref="K20:P20"/>
    <mergeCell ref="K15:P15"/>
    <mergeCell ref="H19:J19"/>
    <mergeCell ref="H20:J21"/>
    <mergeCell ref="H22:J22"/>
    <mergeCell ref="H23:J23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levantamento de bancadas</dc:title>
  <dc:subject/>
  <dc:creator>Centro de Computacao</dc:creator>
  <cp:keywords/>
  <dc:description/>
  <cp:lastModifiedBy>Paulo Chianca Silva</cp:lastModifiedBy>
  <cp:lastPrinted>2019-05-06T13:55:59Z</cp:lastPrinted>
  <dcterms:created xsi:type="dcterms:W3CDTF">2006-01-19T13:21:31Z</dcterms:created>
  <dcterms:modified xsi:type="dcterms:W3CDTF">2019-05-06T13:56:12Z</dcterms:modified>
  <cp:category/>
  <cp:version/>
  <cp:contentType/>
  <cp:contentStatus/>
</cp:coreProperties>
</file>