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EST" sheetId="3" r:id="rId1"/>
  </sheets>
  <definedNames>
    <definedName name="_xlnm._FilterDatabase" localSheetId="0" hidden="1">REP_EST!$A$8:$P$70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REP_EST!$C$8:$P$70</definedName>
  </definedNames>
  <calcPr calcId="124519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P7" i="3"/>
  <c r="F7"/>
  <c r="G7"/>
  <c r="H7"/>
  <c r="I7"/>
  <c r="J7"/>
  <c r="K7"/>
  <c r="L7"/>
  <c r="E7"/>
  <c r="O11"/>
  <c r="D63"/>
  <c r="N34"/>
  <c r="N41"/>
  <c r="M55"/>
  <c r="M14"/>
  <c r="A62"/>
  <c r="M20"/>
  <c r="D39"/>
  <c r="N60"/>
  <c r="C28"/>
  <c r="D69"/>
  <c r="B59"/>
  <c r="C51"/>
  <c r="M60"/>
  <c r="D41"/>
  <c r="O35"/>
  <c r="N42"/>
  <c r="A31"/>
  <c r="O43"/>
  <c r="O61"/>
  <c r="N62"/>
  <c r="M40"/>
  <c r="E8"/>
  <c r="O38"/>
  <c r="D30"/>
  <c r="C34"/>
  <c r="B55"/>
  <c r="B32"/>
  <c r="N20"/>
  <c r="D60"/>
  <c r="M21"/>
  <c r="A47"/>
  <c r="D11"/>
  <c r="A26"/>
  <c r="M51"/>
  <c r="A17"/>
  <c r="M39"/>
  <c r="M9"/>
  <c r="B60"/>
  <c r="N61"/>
  <c r="O62"/>
  <c r="O68"/>
  <c r="D8"/>
  <c r="B64"/>
  <c r="N28"/>
  <c r="B42"/>
  <c r="O9"/>
  <c r="N12"/>
  <c r="D28"/>
  <c r="N24"/>
  <c r="A56"/>
  <c r="N39"/>
  <c r="A54"/>
  <c r="B62"/>
  <c r="C56"/>
  <c r="M47"/>
  <c r="O46"/>
  <c r="N26"/>
  <c r="G8"/>
  <c r="N58"/>
  <c r="B30"/>
  <c r="C45"/>
  <c r="A14"/>
  <c r="N67"/>
  <c r="B24"/>
  <c r="A20"/>
  <c r="A44"/>
  <c r="M45"/>
  <c r="F8"/>
  <c r="A11"/>
  <c r="B22"/>
  <c r="O70"/>
  <c r="M65"/>
  <c r="A37"/>
  <c r="B37"/>
  <c r="A18"/>
  <c r="O51"/>
  <c r="A34"/>
  <c r="A55"/>
  <c r="M13"/>
  <c r="N38"/>
  <c r="M58"/>
  <c r="B12"/>
  <c r="O41"/>
  <c r="D15"/>
  <c r="D29"/>
  <c r="M67"/>
  <c r="O30"/>
  <c r="C16"/>
  <c r="B44"/>
  <c r="C31"/>
  <c r="N13"/>
  <c r="D14"/>
  <c r="M15"/>
  <c r="M19"/>
  <c r="A63"/>
  <c r="A58"/>
  <c r="B45"/>
  <c r="D54"/>
  <c r="C38"/>
  <c r="A21"/>
  <c r="A30"/>
  <c r="D45"/>
  <c r="C9"/>
  <c r="A45"/>
  <c r="A33"/>
  <c r="C41"/>
  <c r="D48"/>
  <c r="A65"/>
  <c r="A40"/>
  <c r="N21"/>
  <c r="M59"/>
  <c r="M50"/>
  <c r="N68"/>
  <c r="O12"/>
  <c r="O23"/>
  <c r="D57"/>
  <c r="A16"/>
  <c r="C62"/>
  <c r="M30"/>
  <c r="C64"/>
  <c r="N69"/>
  <c r="D32"/>
  <c r="M48"/>
  <c r="C11"/>
  <c r="A43"/>
  <c r="N25"/>
  <c r="C53"/>
  <c r="D64"/>
  <c r="M69"/>
  <c r="N35"/>
  <c r="B23"/>
  <c r="O64"/>
  <c r="L8"/>
  <c r="M62"/>
  <c r="A61"/>
  <c r="A19"/>
  <c r="B17"/>
  <c r="I8"/>
  <c r="D12"/>
  <c r="D65"/>
  <c r="C21"/>
  <c r="M8"/>
  <c r="O14"/>
  <c r="N29"/>
  <c r="C68"/>
  <c r="K8"/>
  <c r="C15"/>
  <c r="C14"/>
  <c r="C36"/>
  <c r="A70"/>
  <c r="A50"/>
  <c r="O10"/>
  <c r="B69"/>
  <c r="O8"/>
  <c r="B66"/>
  <c r="N40"/>
  <c r="D51"/>
  <c r="M16"/>
  <c r="M42"/>
  <c r="N11"/>
  <c r="B49"/>
  <c r="B63"/>
  <c r="D31"/>
  <c r="B41"/>
  <c r="O13"/>
  <c r="B26"/>
  <c r="B8"/>
  <c r="A60"/>
  <c r="N55"/>
  <c r="M22"/>
  <c r="A23"/>
  <c r="C44"/>
  <c r="A35"/>
  <c r="D27"/>
  <c r="O19"/>
  <c r="O60"/>
  <c r="D61"/>
  <c r="D67"/>
  <c r="C39"/>
  <c r="D44"/>
  <c r="A10"/>
  <c r="D56"/>
  <c r="D25"/>
  <c r="O16"/>
  <c r="A38"/>
  <c r="J8"/>
  <c r="O15"/>
  <c r="M49"/>
  <c r="N43"/>
  <c r="D24"/>
  <c r="D35"/>
  <c r="C48"/>
  <c r="A51"/>
  <c r="D55"/>
  <c r="A53"/>
  <c r="D21"/>
  <c r="D22"/>
  <c r="B54"/>
  <c r="O27"/>
  <c r="B61"/>
  <c r="O29"/>
  <c r="O20"/>
  <c r="N32"/>
  <c r="M54"/>
  <c r="D10"/>
  <c r="D26"/>
  <c r="B10"/>
  <c r="D62"/>
  <c r="N9"/>
  <c r="N31"/>
  <c r="D46"/>
  <c r="M70"/>
  <c r="B67"/>
  <c r="B13"/>
  <c r="B65"/>
  <c r="B70"/>
  <c r="M66"/>
  <c r="A64"/>
  <c r="B38"/>
  <c r="A27"/>
  <c r="O34"/>
  <c r="N33"/>
  <c r="O33"/>
  <c r="O37"/>
  <c r="N70"/>
  <c r="M43"/>
  <c r="B53"/>
  <c r="N50"/>
  <c r="O52"/>
  <c r="D38"/>
  <c r="B15"/>
  <c r="C40"/>
  <c r="B28"/>
  <c r="C13"/>
  <c r="M12"/>
  <c r="C25"/>
  <c r="N47"/>
  <c r="M63"/>
  <c r="O53"/>
  <c r="O22"/>
  <c r="O45"/>
  <c r="B46"/>
  <c r="N18"/>
  <c r="N56"/>
  <c r="M26"/>
  <c r="O65"/>
  <c r="N17"/>
  <c r="C35"/>
  <c r="A57"/>
  <c r="D49"/>
  <c r="N44"/>
  <c r="M52"/>
  <c r="C60"/>
  <c r="M41"/>
  <c r="N64"/>
  <c r="O36"/>
  <c r="N46"/>
  <c r="A66"/>
  <c r="C29"/>
  <c r="N15"/>
  <c r="A8"/>
  <c r="C27"/>
  <c r="D13"/>
  <c r="A29"/>
  <c r="C37"/>
  <c r="C30"/>
  <c r="C18"/>
  <c r="O48"/>
  <c r="M17"/>
  <c r="M27"/>
  <c r="M24"/>
  <c r="O42"/>
  <c r="C26"/>
  <c r="M46"/>
  <c r="A49"/>
  <c r="C55"/>
  <c r="A42"/>
  <c r="O25"/>
  <c r="A69"/>
  <c r="N66"/>
  <c r="A13"/>
  <c r="N54"/>
  <c r="B35"/>
  <c r="C32"/>
  <c r="A36"/>
  <c r="D50"/>
  <c r="M64"/>
  <c r="B56"/>
  <c r="O32"/>
  <c r="N23"/>
  <c r="O57"/>
  <c r="O54"/>
  <c r="N19"/>
  <c r="M28"/>
  <c r="B48"/>
  <c r="D34"/>
  <c r="D40"/>
  <c r="C46"/>
  <c r="M25"/>
  <c r="H8"/>
  <c r="O24"/>
  <c r="M32"/>
  <c r="D53"/>
  <c r="M10"/>
  <c r="B9"/>
  <c r="C17"/>
  <c r="D52"/>
  <c r="C50"/>
  <c r="D43"/>
  <c r="B33"/>
  <c r="C65"/>
  <c r="B11"/>
  <c r="O18"/>
  <c r="N65"/>
  <c r="D17"/>
  <c r="A9"/>
  <c r="B43"/>
  <c r="O67"/>
  <c r="M33"/>
  <c r="C54"/>
  <c r="C33"/>
  <c r="B27"/>
  <c r="B29"/>
  <c r="M34"/>
  <c r="N36"/>
  <c r="N8"/>
  <c r="M56"/>
  <c r="C57"/>
  <c r="O26"/>
  <c r="N51"/>
  <c r="M44"/>
  <c r="M18"/>
  <c r="O56"/>
  <c r="C47"/>
  <c r="O69"/>
  <c r="N45"/>
  <c r="B47"/>
  <c r="D20"/>
  <c r="C58"/>
  <c r="D37"/>
  <c r="D18"/>
  <c r="A22"/>
  <c r="B40"/>
  <c r="B20"/>
  <c r="A24"/>
  <c r="M11"/>
  <c r="C10"/>
  <c r="O50"/>
  <c r="A67"/>
  <c r="N10"/>
  <c r="C49"/>
  <c r="D70"/>
  <c r="B16"/>
  <c r="D23"/>
  <c r="D16"/>
  <c r="A39"/>
  <c r="N53"/>
  <c r="M35"/>
  <c r="D47"/>
  <c r="B36"/>
  <c r="M38"/>
  <c r="A25"/>
  <c r="B31"/>
  <c r="A15"/>
  <c r="D68"/>
  <c r="B57"/>
  <c r="M23"/>
  <c r="D9"/>
  <c r="O66"/>
  <c r="A52"/>
  <c r="C52"/>
  <c r="D33"/>
  <c r="B34"/>
  <c r="O28"/>
  <c r="N16"/>
  <c r="M37"/>
  <c r="N27"/>
  <c r="B21"/>
  <c r="N37"/>
  <c r="M53"/>
  <c r="B68"/>
  <c r="C23"/>
  <c r="B58"/>
  <c r="D42"/>
  <c r="C67"/>
  <c r="O21"/>
  <c r="C66"/>
  <c r="O39"/>
  <c r="A68"/>
  <c r="D19"/>
  <c r="O31"/>
  <c r="O55"/>
  <c r="N57"/>
  <c r="A41"/>
  <c r="O44"/>
  <c r="N14"/>
  <c r="D59"/>
  <c r="C24"/>
  <c r="B19"/>
  <c r="B51"/>
  <c r="C69"/>
  <c r="M36"/>
  <c r="N63"/>
  <c r="O59"/>
  <c r="C70"/>
  <c r="C8"/>
  <c r="C12"/>
  <c r="O58"/>
  <c r="B39"/>
  <c r="O40"/>
  <c r="M29"/>
  <c r="O47"/>
  <c r="A28"/>
  <c r="C63"/>
  <c r="D66"/>
  <c r="C61"/>
  <c r="O49"/>
  <c r="N30"/>
  <c r="M57"/>
  <c r="D36"/>
  <c r="O17"/>
  <c r="M61"/>
  <c r="C59"/>
  <c r="C43"/>
  <c r="B18"/>
  <c r="B50"/>
  <c r="N22"/>
  <c r="B52"/>
  <c r="N52"/>
  <c r="A46"/>
  <c r="C20"/>
  <c r="N49"/>
  <c r="A48"/>
  <c r="O63"/>
  <c r="A12"/>
  <c r="M68"/>
  <c r="D58"/>
  <c r="B25"/>
  <c r="A32"/>
  <c r="C19"/>
  <c r="B14"/>
  <c r="C42"/>
  <c r="A59"/>
  <c r="N48"/>
  <c r="C22"/>
  <c r="N59"/>
  <c r="M31"/>
  <c r="C6" l="1"/>
</calcChain>
</file>

<file path=xl/sharedStrings.xml><?xml version="1.0" encoding="utf-8"?>
<sst xmlns="http://schemas.openxmlformats.org/spreadsheetml/2006/main" count="22" uniqueCount="22">
  <si>
    <t xml:space="preserve">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</si>
  <si>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</si>
  <si>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</si>
  <si>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</si>
  <si>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</si>
  <si>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</si>
  <si>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</si>
  <si>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</si>
  <si>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</si>
  <si>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</si>
  <si>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t xml:space="preserve">E. M. PARCIAL </t>
  </si>
  <si>
    <t>EJA 1º E 2º SEGM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</si>
  <si>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</si>
  <si>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</si>
  <si>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</si>
  <si>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</si>
  <si>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</si>
  <si>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</si>
  <si>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</si>
  <si>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INDÍGENA</t>
  </si>
  <si>
    <t>QUILOMBOLA</t>
  </si>
  <si>
    <t xml:space="preserve">9º REPASSE TESOURO ESTADUAL - PNAE TOCANTINS  -  ESCOLA EM PERÍODO PARCIAL </t>
  </si>
</sst>
</file>

<file path=xl/styles.xml><?xml version="1.0" encoding="utf-8"?>
<styleSheet xmlns="http://schemas.openxmlformats.org/spreadsheetml/2006/main">
  <fonts count="18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10"/>
      <color rgb="FF000000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8" tint="0.79998168889431442"/>
        <bgColor rgb="FFFFD966"/>
      </patternFill>
    </fill>
    <fill>
      <patternFill patternType="solid">
        <fgColor theme="8" tint="0.79998168889431442"/>
        <bgColor rgb="FF6FA8DC"/>
      </patternFill>
    </fill>
    <fill>
      <patternFill patternType="solid">
        <fgColor theme="8" tint="0.79998168889431442"/>
        <bgColor rgb="FFF9CB9C"/>
      </patternFill>
    </fill>
  </fills>
  <borders count="17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C78D8"/>
      </left>
      <right style="thin">
        <color rgb="FF3C78D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44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textRotation="90"/>
    </xf>
    <xf numFmtId="49" fontId="9" fillId="5" borderId="13" xfId="0" applyNumberFormat="1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 wrapText="1"/>
    </xf>
    <xf numFmtId="0" fontId="4" fillId="0" borderId="6" xfId="0" applyFont="1" applyFill="1" applyBorder="1"/>
    <xf numFmtId="49" fontId="4" fillId="0" borderId="6" xfId="0" applyNumberFormat="1" applyFont="1" applyFill="1" applyBorder="1" applyAlignment="1">
      <alignment horizontal="center"/>
    </xf>
    <xf numFmtId="0" fontId="3" fillId="7" borderId="15" xfId="1" applyFont="1" applyFill="1" applyBorder="1" applyAlignment="1">
      <alignment horizontal="center" vertical="center" wrapText="1"/>
    </xf>
    <xf numFmtId="0" fontId="3" fillId="8" borderId="15" xfId="1" applyFont="1" applyFill="1" applyBorder="1" applyAlignment="1">
      <alignment horizontal="center" vertical="center" wrapText="1"/>
    </xf>
    <xf numFmtId="0" fontId="3" fillId="9" borderId="15" xfId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/>
    <xf numFmtId="49" fontId="4" fillId="0" borderId="6" xfId="0" applyNumberFormat="1" applyFont="1" applyFill="1" applyBorder="1"/>
    <xf numFmtId="0" fontId="4" fillId="6" borderId="16" xfId="0" applyFont="1" applyFill="1" applyBorder="1"/>
    <xf numFmtId="49" fontId="4" fillId="6" borderId="16" xfId="0" applyNumberFormat="1" applyFont="1" applyFill="1" applyBorder="1" applyAlignment="1">
      <alignment horizontal="center"/>
    </xf>
    <xf numFmtId="4" fontId="17" fillId="6" borderId="16" xfId="0" applyNumberFormat="1" applyFont="1" applyFill="1" applyBorder="1"/>
    <xf numFmtId="49" fontId="4" fillId="6" borderId="16" xfId="0" applyNumberFormat="1" applyFont="1" applyFill="1" applyBorder="1"/>
    <xf numFmtId="4" fontId="4" fillId="6" borderId="16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0" fontId="14" fillId="0" borderId="6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1466850</xdr:colOff>
      <xdr:row>0</xdr:row>
      <xdr:rowOff>123825</xdr:rowOff>
    </xdr:from>
    <xdr:to>
      <xdr:col>2</xdr:col>
      <xdr:colOff>4064000</xdr:colOff>
      <xdr:row>2</xdr:row>
      <xdr:rowOff>123825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67200" y="123825"/>
          <a:ext cx="2597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P70"/>
  <sheetViews>
    <sheetView showGridLines="0" tabSelected="1" workbookViewId="0">
      <pane ySplit="8" topLeftCell="A9" activePane="bottomLeft" state="frozen"/>
      <selection pane="bottomLeft" activeCell="A5" sqref="A5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4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16</v>
      </c>
      <c r="B1" s="9"/>
      <c r="C1" s="9" t="s">
        <v>0</v>
      </c>
      <c r="D1" s="36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customFormat="1" ht="24.95" customHeight="1">
      <c r="A2" s="8" t="s">
        <v>17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18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41" t="s">
        <v>21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</row>
    <row r="5" spans="1:16" customFormat="1" ht="22.5" customHeight="1" thickBot="1"/>
    <row r="6" spans="1:16" s="7" customFormat="1" ht="56.25" customHeight="1" thickBot="1">
      <c r="A6" s="15" t="s">
        <v>3</v>
      </c>
      <c r="B6" s="16" t="s">
        <v>4</v>
      </c>
      <c r="C6" s="17" t="str">
        <f ca="1">"UNIDADES EXECUTORAS = " &amp; COUNTA(C9:C70)</f>
        <v>UNIDADES EXECUTORAS = 62</v>
      </c>
      <c r="D6" s="17" t="s">
        <v>5</v>
      </c>
      <c r="E6" s="18" t="s">
        <v>6</v>
      </c>
      <c r="F6" s="18" t="s">
        <v>7</v>
      </c>
      <c r="G6" s="18" t="s">
        <v>8</v>
      </c>
      <c r="H6" s="18" t="s">
        <v>9</v>
      </c>
      <c r="I6" s="24" t="s">
        <v>19</v>
      </c>
      <c r="J6" s="24" t="s">
        <v>20</v>
      </c>
      <c r="K6" s="25" t="s">
        <v>10</v>
      </c>
      <c r="L6" s="26" t="s">
        <v>11</v>
      </c>
      <c r="M6" s="19" t="s">
        <v>12</v>
      </c>
      <c r="N6" s="19" t="s">
        <v>13</v>
      </c>
      <c r="O6" s="20" t="s">
        <v>14</v>
      </c>
      <c r="P6" s="21" t="s">
        <v>15</v>
      </c>
    </row>
    <row r="7" spans="1:16" customFormat="1" ht="59.25" customHeight="1" thickBot="1">
      <c r="A7" s="1"/>
      <c r="B7" s="1"/>
      <c r="C7" s="1"/>
      <c r="D7" s="12" t="s">
        <v>1</v>
      </c>
      <c r="E7" s="13">
        <f t="shared" ref="E7:L7" si="0">SUM(E9:E70)</f>
        <v>332.8</v>
      </c>
      <c r="F7" s="13">
        <f t="shared" si="0"/>
        <v>546</v>
      </c>
      <c r="G7" s="13">
        <f t="shared" si="0"/>
        <v>4502.4000000000005</v>
      </c>
      <c r="H7" s="13">
        <f t="shared" si="0"/>
        <v>130813.19999999997</v>
      </c>
      <c r="I7" s="13">
        <f t="shared" si="0"/>
        <v>4174.8</v>
      </c>
      <c r="J7" s="13">
        <f t="shared" si="0"/>
        <v>1125.5999999999999</v>
      </c>
      <c r="K7" s="13">
        <f t="shared" si="0"/>
        <v>76683.599999999977</v>
      </c>
      <c r="L7" s="13">
        <f t="shared" si="0"/>
        <v>19857.599999999999</v>
      </c>
      <c r="M7" s="38" t="s">
        <v>2</v>
      </c>
      <c r="N7" s="39"/>
      <c r="O7" s="40"/>
      <c r="P7" s="14">
        <f>SUM(P9:P70)</f>
        <v>238035.99999999997</v>
      </c>
    </row>
    <row r="8" spans="1:16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2" t="str">
        <f ca="1">IFERROR(__xludf.DUMMYFUNCTION("""COMPUTED_VALUE"""),"Araguaina")</f>
        <v>Araguaina</v>
      </c>
      <c r="B9" s="22" t="str">
        <f ca="1">IFERROR(__xludf.DUMMYFUNCTION("""COMPUTED_VALUE"""),"Ananas")</f>
        <v>Ananas</v>
      </c>
      <c r="C9" s="22" t="str">
        <f ca="1">IFERROR(__xludf.DUMMYFUNCTION("""COMPUTED_VALUE"""),"ASSOC. DE APOIO DO CENTRO DE ENSINO MÉDIO CABO APARICIO ARAÚJO PAZ")</f>
        <v>ASSOC. DE APOIO DO CENTRO DE ENSINO MÉDIO CABO APARICIO ARAÚJO PAZ</v>
      </c>
      <c r="D9" s="23" t="str">
        <f ca="1">IFERROR(__xludf.DUMMYFUNCTION("""COMPUTED_VALUE"""),"05537116000188")</f>
        <v>05537116000188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3435.6</v>
      </c>
      <c r="L9" s="27">
        <v>0</v>
      </c>
      <c r="M9" s="28" t="str">
        <f ca="1">IFERROR(__xludf.DUMMYFUNCTION("""COMPUTED_VALUE"""),"001")</f>
        <v>001</v>
      </c>
      <c r="N9" s="28" t="str">
        <f ca="1">IFERROR(__xludf.DUMMYFUNCTION("""COMPUTED_VALUE"""),"3973")</f>
        <v>3973</v>
      </c>
      <c r="O9" s="28" t="str">
        <f ca="1">IFERROR(__xludf.DUMMYFUNCTION("""COMPUTED_VALUE"""),"114510")</f>
        <v>114510</v>
      </c>
      <c r="P9" s="34">
        <v>3435.6</v>
      </c>
    </row>
    <row r="10" spans="1:16" s="8" customFormat="1" ht="21.95" customHeight="1">
      <c r="A10" s="29" t="str">
        <f ca="1">IFERROR(__xludf.DUMMYFUNCTION("""COMPUTED_VALUE"""),"Araguaina")</f>
        <v>Araguaina</v>
      </c>
      <c r="B10" s="29" t="str">
        <f ca="1">IFERROR(__xludf.DUMMYFUNCTION("""COMPUTED_VALUE"""),"Ananas")</f>
        <v>Ananas</v>
      </c>
      <c r="C10" s="29" t="str">
        <f ca="1">IFERROR(__xludf.DUMMYFUNCTION("""COMPUTED_VALUE"""),"ASS. APOIO COL. EST. GETULIO VARGAS")</f>
        <v>ASS. APOIO COL. EST. GETULIO VARGAS</v>
      </c>
      <c r="D10" s="30" t="str">
        <f ca="1">IFERROR(__xludf.DUMMYFUNCTION("""COMPUTED_VALUE"""),"01296368000101")</f>
        <v>01296368000101</v>
      </c>
      <c r="E10" s="31">
        <v>0</v>
      </c>
      <c r="F10" s="31">
        <v>0</v>
      </c>
      <c r="G10" s="31">
        <v>142.80000000000001</v>
      </c>
      <c r="H10" s="31">
        <v>2898</v>
      </c>
      <c r="I10" s="31">
        <v>0</v>
      </c>
      <c r="J10" s="31">
        <v>0</v>
      </c>
      <c r="K10" s="31">
        <v>0</v>
      </c>
      <c r="L10" s="31">
        <v>697.2</v>
      </c>
      <c r="M10" s="32" t="str">
        <f ca="1">IFERROR(__xludf.DUMMYFUNCTION("""COMPUTED_VALUE"""),"001")</f>
        <v>001</v>
      </c>
      <c r="N10" s="32" t="str">
        <f ca="1">IFERROR(__xludf.DUMMYFUNCTION("""COMPUTED_VALUE"""),"3973")</f>
        <v>3973</v>
      </c>
      <c r="O10" s="32" t="str">
        <f ca="1">IFERROR(__xludf.DUMMYFUNCTION("""COMPUTED_VALUE"""),"55778")</f>
        <v>55778</v>
      </c>
      <c r="P10" s="33">
        <v>3738</v>
      </c>
    </row>
    <row r="11" spans="1:16" s="8" customFormat="1" ht="21.95" customHeight="1">
      <c r="A11" s="22" t="str">
        <f ca="1">IFERROR(__xludf.DUMMYFUNCTION("""COMPUTED_VALUE"""),"Araguaina")</f>
        <v>Araguaina</v>
      </c>
      <c r="B11" s="22" t="str">
        <f ca="1">IFERROR(__xludf.DUMMYFUNCTION("""COMPUTED_VALUE"""),"Ananas")</f>
        <v>Ananas</v>
      </c>
      <c r="C11" s="22" t="str">
        <f ca="1">IFERROR(__xludf.DUMMYFUNCTION("""COMPUTED_VALUE"""),"A.A. ESC. EST. PRES. COSTA E SILVA")</f>
        <v>A.A. ESC. EST. PRES. COSTA E SILVA</v>
      </c>
      <c r="D11" s="23" t="str">
        <f ca="1">IFERROR(__xludf.DUMMYFUNCTION("""COMPUTED_VALUE"""),"02026325000179")</f>
        <v>02026325000179</v>
      </c>
      <c r="E11" s="27">
        <v>0</v>
      </c>
      <c r="F11" s="27">
        <v>0</v>
      </c>
      <c r="G11" s="27">
        <v>0</v>
      </c>
      <c r="H11" s="27">
        <v>571.20000000000005</v>
      </c>
      <c r="I11" s="27">
        <v>0</v>
      </c>
      <c r="J11" s="27">
        <v>0</v>
      </c>
      <c r="K11" s="27">
        <v>352.8</v>
      </c>
      <c r="L11" s="27">
        <v>0</v>
      </c>
      <c r="M11" s="28" t="str">
        <f ca="1">IFERROR(__xludf.DUMMYFUNCTION("""COMPUTED_VALUE"""),"001")</f>
        <v>001</v>
      </c>
      <c r="N11" s="28" t="str">
        <f ca="1">IFERROR(__xludf.DUMMYFUNCTION("""COMPUTED_VALUE"""),"3973")</f>
        <v>3973</v>
      </c>
      <c r="O11" s="28" t="str">
        <f ca="1">IFERROR(__xludf.DUMMYFUNCTION("""COMPUTED_VALUE"""),"55786")</f>
        <v>55786</v>
      </c>
      <c r="P11" s="34">
        <v>924</v>
      </c>
    </row>
    <row r="12" spans="1:16" s="8" customFormat="1" ht="21.95" customHeight="1">
      <c r="A12" s="29" t="str">
        <f ca="1">IFERROR(__xludf.DUMMYFUNCTION("""COMPUTED_VALUE"""),"Araguaina")</f>
        <v>Araguaina</v>
      </c>
      <c r="B12" s="29" t="str">
        <f ca="1">IFERROR(__xludf.DUMMYFUNCTION("""COMPUTED_VALUE"""),"Ananas")</f>
        <v>Ananas</v>
      </c>
      <c r="C12" s="29" t="str">
        <f ca="1">IFERROR(__xludf.DUMMYFUNCTION("""COMPUTED_VALUE"""),"A.A. DA ESC.PAR.SAO PEDRO/CONVENIADA")</f>
        <v>A.A. DA ESC.PAR.SAO PEDRO/CONVENIADA</v>
      </c>
      <c r="D12" s="30" t="str">
        <f ca="1">IFERROR(__xludf.DUMMYFUNCTION("""COMPUTED_VALUE"""),"01911081000144")</f>
        <v>01911081000144</v>
      </c>
      <c r="E12" s="31">
        <v>0</v>
      </c>
      <c r="F12" s="31">
        <v>0</v>
      </c>
      <c r="G12" s="31">
        <v>0</v>
      </c>
      <c r="H12" s="31">
        <v>2654.4</v>
      </c>
      <c r="I12" s="31">
        <v>0</v>
      </c>
      <c r="J12" s="31">
        <v>0</v>
      </c>
      <c r="K12" s="31">
        <v>0</v>
      </c>
      <c r="L12" s="31">
        <v>0</v>
      </c>
      <c r="M12" s="32" t="str">
        <f ca="1">IFERROR(__xludf.DUMMYFUNCTION("""COMPUTED_VALUE"""),"001")</f>
        <v>001</v>
      </c>
      <c r="N12" s="32" t="str">
        <f ca="1">IFERROR(__xludf.DUMMYFUNCTION("""COMPUTED_VALUE"""),"3973")</f>
        <v>3973</v>
      </c>
      <c r="O12" s="32" t="str">
        <f ca="1">IFERROR(__xludf.DUMMYFUNCTION("""COMPUTED_VALUE"""),"67350")</f>
        <v>67350</v>
      </c>
      <c r="P12" s="33">
        <v>2654.4</v>
      </c>
    </row>
    <row r="13" spans="1:16" s="8" customFormat="1" ht="21.95" customHeight="1">
      <c r="A13" s="22" t="str">
        <f ca="1">IFERROR(__xludf.DUMMYFUNCTION("""COMPUTED_VALUE"""),"Araguaina")</f>
        <v>Araguaina</v>
      </c>
      <c r="B13" s="22" t="str">
        <f ca="1">IFERROR(__xludf.DUMMYFUNCTION("""COMPUTED_VALUE"""),"Aragominas")</f>
        <v>Aragominas</v>
      </c>
      <c r="C13" s="22" t="str">
        <f ca="1">IFERROR(__xludf.DUMMYFUNCTION("""COMPUTED_VALUE"""),"ASSOCIAÇÃO DE APOIO DO COL. EST.GETULIO VARGAS")</f>
        <v>ASSOCIAÇÃO DE APOIO DO COL. EST.GETULIO VARGAS</v>
      </c>
      <c r="D13" s="23" t="str">
        <f ca="1">IFERROR(__xludf.DUMMYFUNCTION("""COMPUTED_VALUE"""),"01918914000107")</f>
        <v>01918914000107</v>
      </c>
      <c r="E13" s="27">
        <v>0</v>
      </c>
      <c r="F13" s="27">
        <v>0</v>
      </c>
      <c r="G13" s="27">
        <v>134.4</v>
      </c>
      <c r="H13" s="27">
        <v>3511.2</v>
      </c>
      <c r="I13" s="27">
        <v>0</v>
      </c>
      <c r="J13" s="27">
        <v>0</v>
      </c>
      <c r="K13" s="27">
        <v>1898.4</v>
      </c>
      <c r="L13" s="27">
        <v>159.6</v>
      </c>
      <c r="M13" s="28" t="str">
        <f ca="1">IFERROR(__xludf.DUMMYFUNCTION("""COMPUTED_VALUE"""),"001")</f>
        <v>001</v>
      </c>
      <c r="N13" s="28" t="str">
        <f ca="1">IFERROR(__xludf.DUMMYFUNCTION("""COMPUTED_VALUE"""),"0638")</f>
        <v>0638</v>
      </c>
      <c r="O13" s="28" t="str">
        <f ca="1">IFERROR(__xludf.DUMMYFUNCTION("""COMPUTED_VALUE"""),"83224")</f>
        <v>83224</v>
      </c>
      <c r="P13" s="34">
        <v>5703.6</v>
      </c>
    </row>
    <row r="14" spans="1:16" s="8" customFormat="1" ht="21.95" customHeight="1">
      <c r="A14" s="29" t="str">
        <f ca="1">IFERROR(__xludf.DUMMYFUNCTION("""COMPUTED_VALUE"""),"Araguaina")</f>
        <v>Araguaina</v>
      </c>
      <c r="B14" s="29" t="str">
        <f ca="1">IFERROR(__xludf.DUMMYFUNCTION("""COMPUTED_VALUE"""),"Araguaina")</f>
        <v>Araguaina</v>
      </c>
      <c r="C14" s="29" t="str">
        <f ca="1">IFERROR(__xludf.DUMMYFUNCTION("""COMPUTED_VALUE"""),"A.A. DA ESCOLA CONVENIADA ASPA")</f>
        <v>A.A. DA ESCOLA CONVENIADA ASPA</v>
      </c>
      <c r="D14" s="30" t="str">
        <f ca="1">IFERROR(__xludf.DUMMYFUNCTION("""COMPUTED_VALUE"""),"02539998000122")</f>
        <v>02539998000122</v>
      </c>
      <c r="E14" s="31">
        <v>0</v>
      </c>
      <c r="F14" s="31">
        <v>0</v>
      </c>
      <c r="G14" s="31">
        <v>100.8</v>
      </c>
      <c r="H14" s="31">
        <v>1696.8</v>
      </c>
      <c r="I14" s="31">
        <v>0</v>
      </c>
      <c r="J14" s="31">
        <v>0</v>
      </c>
      <c r="K14" s="31">
        <v>0</v>
      </c>
      <c r="L14" s="31">
        <v>0</v>
      </c>
      <c r="M14" s="32" t="str">
        <f ca="1">IFERROR(__xludf.DUMMYFUNCTION("""COMPUTED_VALUE"""),"001")</f>
        <v>001</v>
      </c>
      <c r="N14" s="32" t="str">
        <f ca="1">IFERROR(__xludf.DUMMYFUNCTION("""COMPUTED_VALUE"""),"0638")</f>
        <v>0638</v>
      </c>
      <c r="O14" s="32" t="str">
        <f ca="1">IFERROR(__xludf.DUMMYFUNCTION("""COMPUTED_VALUE"""),"82392")</f>
        <v>82392</v>
      </c>
      <c r="P14" s="33">
        <v>1797.6</v>
      </c>
    </row>
    <row r="15" spans="1:16" s="8" customFormat="1" ht="21.95" customHeight="1">
      <c r="A15" s="22" t="str">
        <f ca="1">IFERROR(__xludf.DUMMYFUNCTION("""COMPUTED_VALUE"""),"Araguaina")</f>
        <v>Araguaina</v>
      </c>
      <c r="B15" s="22" t="str">
        <f ca="1">IFERROR(__xludf.DUMMYFUNCTION("""COMPUTED_VALUE"""),"Araguaina")</f>
        <v>Araguaina</v>
      </c>
      <c r="C15" s="22" t="str">
        <f ca="1">IFERROR(__xludf.DUMMYFUNCTION("""COMPUTED_VALUE"""),"A.A. DO CAIC JORGE HUMBERTO CAMARGO")</f>
        <v>A.A. DO CAIC JORGE HUMBERTO CAMARGO</v>
      </c>
      <c r="D15" s="23" t="str">
        <f ca="1">IFERROR(__xludf.DUMMYFUNCTION("""COMPUTED_VALUE"""),"01071395000186")</f>
        <v>01071395000186</v>
      </c>
      <c r="E15" s="27">
        <v>0</v>
      </c>
      <c r="F15" s="27">
        <v>0</v>
      </c>
      <c r="G15" s="27">
        <v>226.8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8" t="str">
        <f ca="1">IFERROR(__xludf.DUMMYFUNCTION("""COMPUTED_VALUE"""),"001")</f>
        <v>001</v>
      </c>
      <c r="N15" s="28" t="str">
        <f ca="1">IFERROR(__xludf.DUMMYFUNCTION("""COMPUTED_VALUE"""),"0638")</f>
        <v>0638</v>
      </c>
      <c r="O15" s="28" t="str">
        <f ca="1">IFERROR(__xludf.DUMMYFUNCTION("""COMPUTED_VALUE"""),"55099X")</f>
        <v>55099X</v>
      </c>
      <c r="P15" s="34">
        <v>226.8</v>
      </c>
    </row>
    <row r="16" spans="1:16" s="8" customFormat="1" ht="21.95" customHeight="1">
      <c r="A16" s="29" t="str">
        <f ca="1">IFERROR(__xludf.DUMMYFUNCTION("""COMPUTED_VALUE"""),"Araguaina")</f>
        <v>Araguaina</v>
      </c>
      <c r="B16" s="29" t="str">
        <f ca="1">IFERROR(__xludf.DUMMYFUNCTION("""COMPUTED_VALUE"""),"Araguaina")</f>
        <v>Araguaina</v>
      </c>
      <c r="C16" s="29" t="str">
        <f ca="1">IFERROR(__xludf.DUMMYFUNCTION("""COMPUTED_VALUE"""),"ASSOC. DE PAIS, ALUNOS E MESTRES COL. EST. POLIVALENTE CASTELO BRANCO")</f>
        <v>ASSOC. DE PAIS, ALUNOS E MESTRES COL. EST. POLIVALENTE CASTELO BRANCO</v>
      </c>
      <c r="D16" s="30" t="str">
        <f ca="1">IFERROR(__xludf.DUMMYFUNCTION("""COMPUTED_VALUE"""),"00918900000112")</f>
        <v>00918900000112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294</v>
      </c>
      <c r="L16" s="31">
        <v>0</v>
      </c>
      <c r="M16" s="32" t="str">
        <f ca="1">IFERROR(__xludf.DUMMYFUNCTION("""COMPUTED_VALUE"""),"001")</f>
        <v>001</v>
      </c>
      <c r="N16" s="32" t="str">
        <f ca="1">IFERROR(__xludf.DUMMYFUNCTION("""COMPUTED_VALUE"""),"0638")</f>
        <v>0638</v>
      </c>
      <c r="O16" s="32" t="str">
        <f ca="1">IFERROR(__xludf.DUMMYFUNCTION("""COMPUTED_VALUE"""),"12599")</f>
        <v>12599</v>
      </c>
      <c r="P16" s="33">
        <v>294</v>
      </c>
    </row>
    <row r="17" spans="1:16" s="8" customFormat="1" ht="21.95" customHeight="1">
      <c r="A17" s="22" t="str">
        <f ca="1">IFERROR(__xludf.DUMMYFUNCTION("""COMPUTED_VALUE"""),"Araguaina")</f>
        <v>Araguaina</v>
      </c>
      <c r="B17" s="22" t="str">
        <f ca="1">IFERROR(__xludf.DUMMYFUNCTION("""COMPUTED_VALUE"""),"Araguaina")</f>
        <v>Araguaina</v>
      </c>
      <c r="C17" s="22" t="str">
        <f ca="1">IFERROR(__xludf.DUMMYFUNCTION("""COMPUTED_VALUE"""),"ASSOC. A. COL. EST. DR. JOSÉ ALUÍSIO DA SILVA LUZ")</f>
        <v>ASSOC. A. COL. EST. DR. JOSÉ ALUÍSIO DA SILVA LUZ</v>
      </c>
      <c r="D17" s="23" t="str">
        <f ca="1">IFERROR(__xludf.DUMMYFUNCTION("""COMPUTED_VALUE"""),"02480178000102")</f>
        <v>02480178000102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6392.4</v>
      </c>
      <c r="L17" s="27">
        <v>0</v>
      </c>
      <c r="M17" s="28" t="str">
        <f ca="1">IFERROR(__xludf.DUMMYFUNCTION("""COMPUTED_VALUE"""),"001")</f>
        <v>001</v>
      </c>
      <c r="N17" s="28" t="str">
        <f ca="1">IFERROR(__xludf.DUMMYFUNCTION("""COMPUTED_VALUE"""),"0638")</f>
        <v>0638</v>
      </c>
      <c r="O17" s="28" t="str">
        <f ca="1">IFERROR(__xludf.DUMMYFUNCTION("""COMPUTED_VALUE"""),"552291")</f>
        <v>552291</v>
      </c>
      <c r="P17" s="34">
        <v>6392.4</v>
      </c>
    </row>
    <row r="18" spans="1:16" s="8" customFormat="1" ht="21.95" customHeight="1">
      <c r="A18" s="29" t="str">
        <f ca="1">IFERROR(__xludf.DUMMYFUNCTION("""COMPUTED_VALUE"""),"Araguaina")</f>
        <v>Araguaina</v>
      </c>
      <c r="B18" s="29" t="str">
        <f ca="1">IFERROR(__xludf.DUMMYFUNCTION("""COMPUTED_VALUE"""),"Araguaina")</f>
        <v>Araguaina</v>
      </c>
      <c r="C18" s="29" t="str">
        <f ca="1">IFERROR(__xludf.DUMMYFUNCTION("""COMPUTED_VALUE"""),"A. APOIO DO COLEGIO DE APLICACAO")</f>
        <v>A. APOIO DO COLEGIO DE APLICACAO</v>
      </c>
      <c r="D18" s="30" t="str">
        <f ca="1">IFERROR(__xludf.DUMMYFUNCTION("""COMPUTED_VALUE"""),"01086986000127")</f>
        <v>01086986000127</v>
      </c>
      <c r="E18" s="31">
        <v>0</v>
      </c>
      <c r="F18" s="31">
        <v>0</v>
      </c>
      <c r="G18" s="31">
        <v>0</v>
      </c>
      <c r="H18" s="31">
        <v>2696.4</v>
      </c>
      <c r="I18" s="31">
        <v>0</v>
      </c>
      <c r="J18" s="31">
        <v>0</v>
      </c>
      <c r="K18" s="31">
        <v>1100.4000000000001</v>
      </c>
      <c r="L18" s="31">
        <v>0</v>
      </c>
      <c r="M18" s="32" t="str">
        <f ca="1">IFERROR(__xludf.DUMMYFUNCTION("""COMPUTED_VALUE"""),"001")</f>
        <v>001</v>
      </c>
      <c r="N18" s="32" t="str">
        <f ca="1">IFERROR(__xludf.DUMMYFUNCTION("""COMPUTED_VALUE"""),"0638")</f>
        <v>0638</v>
      </c>
      <c r="O18" s="32" t="str">
        <f ca="1">IFERROR(__xludf.DUMMYFUNCTION("""COMPUTED_VALUE"""),"0465275")</f>
        <v>0465275</v>
      </c>
      <c r="P18" s="33">
        <v>3796.8</v>
      </c>
    </row>
    <row r="19" spans="1:16" s="8" customFormat="1" ht="21.95" customHeight="1">
      <c r="A19" s="22" t="str">
        <f ca="1">IFERROR(__xludf.DUMMYFUNCTION("""COMPUTED_VALUE"""),"Araguaina")</f>
        <v>Araguaina</v>
      </c>
      <c r="B19" s="22" t="str">
        <f ca="1">IFERROR(__xludf.DUMMYFUNCTION("""COMPUTED_VALUE"""),"Araguaina")</f>
        <v>Araguaina</v>
      </c>
      <c r="C19" s="22" t="str">
        <f ca="1">IFERROR(__xludf.DUMMYFUNCTION("""COMPUTED_VALUE"""),"A.A. C.E. ADEMAR V. FERREIRA SOBRINHO")</f>
        <v>A.A. C.E. ADEMAR V. FERREIRA SOBRINHO</v>
      </c>
      <c r="D19" s="23" t="str">
        <f ca="1">IFERROR(__xludf.DUMMYFUNCTION("""COMPUTED_VALUE"""),"01143808000190")</f>
        <v>01143808000190</v>
      </c>
      <c r="E19" s="27">
        <v>0</v>
      </c>
      <c r="F19" s="27">
        <v>0</v>
      </c>
      <c r="G19" s="27">
        <v>302.39999999999998</v>
      </c>
      <c r="H19" s="27">
        <v>4376.3999999999996</v>
      </c>
      <c r="I19" s="27">
        <v>0</v>
      </c>
      <c r="J19" s="27">
        <v>0</v>
      </c>
      <c r="K19" s="27">
        <v>0</v>
      </c>
      <c r="L19" s="27">
        <v>0</v>
      </c>
      <c r="M19" s="28" t="str">
        <f ca="1">IFERROR(__xludf.DUMMYFUNCTION("""COMPUTED_VALUE"""),"001")</f>
        <v>001</v>
      </c>
      <c r="N19" s="28" t="str">
        <f ca="1">IFERROR(__xludf.DUMMYFUNCTION("""COMPUTED_VALUE"""),"0638")</f>
        <v>0638</v>
      </c>
      <c r="O19" s="28" t="str">
        <f ca="1">IFERROR(__xludf.DUMMYFUNCTION("""COMPUTED_VALUE"""),"0464244")</f>
        <v>0464244</v>
      </c>
      <c r="P19" s="34">
        <v>4678.7999999999993</v>
      </c>
    </row>
    <row r="20" spans="1:16" s="8" customFormat="1" ht="21.95" customHeight="1">
      <c r="A20" s="29" t="str">
        <f ca="1">IFERROR(__xludf.DUMMYFUNCTION("""COMPUTED_VALUE"""),"Araguaina")</f>
        <v>Araguaina</v>
      </c>
      <c r="B20" s="29" t="str">
        <f ca="1">IFERROR(__xludf.DUMMYFUNCTION("""COMPUTED_VALUE"""),"Araguaina")</f>
        <v>Araguaina</v>
      </c>
      <c r="C20" s="29" t="str">
        <f ca="1">IFERROR(__xludf.DUMMYFUNCTION("""COMPUTED_VALUE"""),"A.A. C.E.  ADOLFO BEZERRA DE MENEZES")</f>
        <v>A.A. C.E.  ADOLFO BEZERRA DE MENEZES</v>
      </c>
      <c r="D20" s="30" t="str">
        <f ca="1">IFERROR(__xludf.DUMMYFUNCTION("""COMPUTED_VALUE"""),"01071435000190")</f>
        <v>01071435000190</v>
      </c>
      <c r="E20" s="31">
        <v>0</v>
      </c>
      <c r="F20" s="31">
        <v>0</v>
      </c>
      <c r="G20" s="31">
        <v>168</v>
      </c>
      <c r="H20" s="31">
        <v>4166.3999999999996</v>
      </c>
      <c r="I20" s="31">
        <v>0</v>
      </c>
      <c r="J20" s="31">
        <v>0</v>
      </c>
      <c r="K20" s="31">
        <v>5157.6000000000004</v>
      </c>
      <c r="L20" s="31">
        <v>2856</v>
      </c>
      <c r="M20" s="32" t="str">
        <f ca="1">IFERROR(__xludf.DUMMYFUNCTION("""COMPUTED_VALUE"""),"001")</f>
        <v>001</v>
      </c>
      <c r="N20" s="32" t="str">
        <f ca="1">IFERROR(__xludf.DUMMYFUNCTION("""COMPUTED_VALUE"""),"0638")</f>
        <v>0638</v>
      </c>
      <c r="O20" s="32" t="str">
        <f ca="1">IFERROR(__xludf.DUMMYFUNCTION("""COMPUTED_VALUE"""),"463426")</f>
        <v>463426</v>
      </c>
      <c r="P20" s="33">
        <v>12348</v>
      </c>
    </row>
    <row r="21" spans="1:16" s="8" customFormat="1" ht="21.95" customHeight="1">
      <c r="A21" s="22" t="str">
        <f ca="1">IFERROR(__xludf.DUMMYFUNCTION("""COMPUTED_VALUE"""),"Araguaina")</f>
        <v>Araguaina</v>
      </c>
      <c r="B21" s="22" t="str">
        <f ca="1">IFERROR(__xludf.DUMMYFUNCTION("""COMPUTED_VALUE"""),"Araguaina")</f>
        <v>Araguaina</v>
      </c>
      <c r="C21" s="22" t="str">
        <f ca="1">IFERROR(__xludf.DUMMYFUNCTION("""COMPUTED_VALUE"""),"A. APOIO ESCOLA EST. CAMPOS BRASIL")</f>
        <v>A. APOIO ESCOLA EST. CAMPOS BRASIL</v>
      </c>
      <c r="D21" s="23" t="str">
        <f ca="1">IFERROR(__xludf.DUMMYFUNCTION("""COMPUTED_VALUE"""),"01291177000157")</f>
        <v>01291177000157</v>
      </c>
      <c r="E21" s="27">
        <v>0</v>
      </c>
      <c r="F21" s="27">
        <v>0</v>
      </c>
      <c r="G21" s="27">
        <v>277.2</v>
      </c>
      <c r="H21" s="27">
        <v>5241.6000000000004</v>
      </c>
      <c r="I21" s="27">
        <v>0</v>
      </c>
      <c r="J21" s="27">
        <v>0</v>
      </c>
      <c r="K21" s="27">
        <v>3477.6</v>
      </c>
      <c r="L21" s="27">
        <v>0</v>
      </c>
      <c r="M21" s="28" t="str">
        <f ca="1">IFERROR(__xludf.DUMMYFUNCTION("""COMPUTED_VALUE"""),"001")</f>
        <v>001</v>
      </c>
      <c r="N21" s="28" t="str">
        <f ca="1">IFERROR(__xludf.DUMMYFUNCTION("""COMPUTED_VALUE"""),"0638")</f>
        <v>0638</v>
      </c>
      <c r="O21" s="28" t="str">
        <f ca="1">IFERROR(__xludf.DUMMYFUNCTION("""COMPUTED_VALUE"""),"466093")</f>
        <v>466093</v>
      </c>
      <c r="P21" s="34">
        <v>8996.4</v>
      </c>
    </row>
    <row r="22" spans="1:16" s="8" customFormat="1" ht="21.95" customHeight="1">
      <c r="A22" s="29" t="str">
        <f ca="1">IFERROR(__xludf.DUMMYFUNCTION("""COMPUTED_VALUE"""),"Araguaina")</f>
        <v>Araguaina</v>
      </c>
      <c r="B22" s="29" t="str">
        <f ca="1">IFERROR(__xludf.DUMMYFUNCTION("""COMPUTED_VALUE"""),"Araguaina")</f>
        <v>Araguaina</v>
      </c>
      <c r="C22" s="29" t="str">
        <f ca="1">IFERROR(__xludf.DUMMYFUNCTION("""COMPUTED_VALUE"""),"A.A. COL. ESTADUAL GUILHERME DOURADO")</f>
        <v>A.A. COL. ESTADUAL GUILHERME DOURADO</v>
      </c>
      <c r="D22" s="30" t="str">
        <f ca="1">IFERROR(__xludf.DUMMYFUNCTION("""COMPUTED_VALUE"""),"01257074000170")</f>
        <v>01257074000170</v>
      </c>
      <c r="E22" s="31">
        <v>0</v>
      </c>
      <c r="F22" s="31">
        <v>0</v>
      </c>
      <c r="G22" s="31">
        <v>176.4</v>
      </c>
      <c r="H22" s="31">
        <v>3922.8</v>
      </c>
      <c r="I22" s="31">
        <v>0</v>
      </c>
      <c r="J22" s="31">
        <v>0</v>
      </c>
      <c r="K22" s="31">
        <v>7988.4</v>
      </c>
      <c r="L22" s="31">
        <v>0</v>
      </c>
      <c r="M22" s="32" t="str">
        <f ca="1">IFERROR(__xludf.DUMMYFUNCTION("""COMPUTED_VALUE"""),"001")</f>
        <v>001</v>
      </c>
      <c r="N22" s="32" t="str">
        <f ca="1">IFERROR(__xludf.DUMMYFUNCTION("""COMPUTED_VALUE"""),"0638")</f>
        <v>0638</v>
      </c>
      <c r="O22" s="32" t="str">
        <f ca="1">IFERROR(__xludf.DUMMYFUNCTION("""COMPUTED_VALUE"""),"0068659")</f>
        <v>0068659</v>
      </c>
      <c r="P22" s="33">
        <v>12087.599999999999</v>
      </c>
    </row>
    <row r="23" spans="1:16" s="8" customFormat="1" ht="21.95" customHeight="1">
      <c r="A23" s="22" t="str">
        <f ca="1">IFERROR(__xludf.DUMMYFUNCTION("""COMPUTED_VALUE"""),"Araguaina")</f>
        <v>Araguaina</v>
      </c>
      <c r="B23" s="22" t="str">
        <f ca="1">IFERROR(__xludf.DUMMYFUNCTION("""COMPUTED_VALUE"""),"Araguaina")</f>
        <v>Araguaina</v>
      </c>
      <c r="C23" s="22" t="str">
        <f ca="1">IFERROR(__xludf.DUMMYFUNCTION("""COMPUTED_VALUE"""),"ASS. APOIO COL. EST. JARDIM PAULISTA")</f>
        <v>ASS. APOIO COL. EST. JARDIM PAULISTA</v>
      </c>
      <c r="D23" s="23" t="str">
        <f ca="1">IFERROR(__xludf.DUMMYFUNCTION("""COMPUTED_VALUE"""),"05502542000186")</f>
        <v>05502542000186</v>
      </c>
      <c r="E23" s="27">
        <v>0</v>
      </c>
      <c r="F23" s="27">
        <v>0</v>
      </c>
      <c r="G23" s="27">
        <v>100.8</v>
      </c>
      <c r="H23" s="27">
        <v>4821.6000000000004</v>
      </c>
      <c r="I23" s="27">
        <v>0</v>
      </c>
      <c r="J23" s="27">
        <v>0</v>
      </c>
      <c r="K23" s="27">
        <v>3150</v>
      </c>
      <c r="L23" s="27">
        <v>0</v>
      </c>
      <c r="M23" s="28" t="str">
        <f ca="1">IFERROR(__xludf.DUMMYFUNCTION("""COMPUTED_VALUE"""),"001")</f>
        <v>001</v>
      </c>
      <c r="N23" s="28" t="str">
        <f ca="1">IFERROR(__xludf.DUMMYFUNCTION("""COMPUTED_VALUE"""),"0638")</f>
        <v>0638</v>
      </c>
      <c r="O23" s="28" t="str">
        <f ca="1">IFERROR(__xludf.DUMMYFUNCTION("""COMPUTED_VALUE"""),"243876")</f>
        <v>243876</v>
      </c>
      <c r="P23" s="34">
        <v>8072.4000000000005</v>
      </c>
    </row>
    <row r="24" spans="1:16" s="8" customFormat="1" ht="21.95" customHeight="1">
      <c r="A24" s="29" t="str">
        <f ca="1">IFERROR(__xludf.DUMMYFUNCTION("""COMPUTED_VALUE"""),"Araguaina")</f>
        <v>Araguaina</v>
      </c>
      <c r="B24" s="29" t="str">
        <f ca="1">IFERROR(__xludf.DUMMYFUNCTION("""COMPUTED_VALUE"""),"Araguaina")</f>
        <v>Araguaina</v>
      </c>
      <c r="C24" s="29" t="str">
        <f ca="1">IFERROR(__xludf.DUMMYFUNCTION("""COMPUTED_VALUE"""),"A.APOIO COL. ESTADUAL JORGE AMADO")</f>
        <v>A.APOIO COL. ESTADUAL JORGE AMADO</v>
      </c>
      <c r="D24" s="30" t="str">
        <f ca="1">IFERROR(__xludf.DUMMYFUNCTION("""COMPUTED_VALUE"""),"01291218000105")</f>
        <v>01291218000105</v>
      </c>
      <c r="E24" s="31">
        <v>0</v>
      </c>
      <c r="F24" s="31">
        <v>0</v>
      </c>
      <c r="G24" s="31">
        <v>75.599999999999994</v>
      </c>
      <c r="H24" s="31">
        <v>1915.2</v>
      </c>
      <c r="I24" s="31">
        <v>0</v>
      </c>
      <c r="J24" s="31">
        <v>0</v>
      </c>
      <c r="K24" s="31">
        <v>2007.6</v>
      </c>
      <c r="L24" s="31">
        <v>0</v>
      </c>
      <c r="M24" s="32" t="str">
        <f ca="1">IFERROR(__xludf.DUMMYFUNCTION("""COMPUTED_VALUE"""),"001")</f>
        <v>001</v>
      </c>
      <c r="N24" s="32" t="str">
        <f ca="1">IFERROR(__xludf.DUMMYFUNCTION("""COMPUTED_VALUE"""),"0638")</f>
        <v>0638</v>
      </c>
      <c r="O24" s="32" t="str">
        <f ca="1">IFERROR(__xludf.DUMMYFUNCTION("""COMPUTED_VALUE"""),"0467006")</f>
        <v>0467006</v>
      </c>
      <c r="P24" s="33">
        <v>3998.3999999999996</v>
      </c>
    </row>
    <row r="25" spans="1:16" s="8" customFormat="1" ht="21.95" customHeight="1">
      <c r="A25" s="22" t="str">
        <f ca="1">IFERROR(__xludf.DUMMYFUNCTION("""COMPUTED_VALUE"""),"Araguaina")</f>
        <v>Araguaina</v>
      </c>
      <c r="B25" s="22" t="str">
        <f ca="1">IFERROR(__xludf.DUMMYFUNCTION("""COMPUTED_VALUE"""),"Araguaina")</f>
        <v>Araguaina</v>
      </c>
      <c r="C25" s="22" t="str">
        <f ca="1">IFERROR(__xludf.DUMMYFUNCTION("""COMPUTED_VALUE"""),"A.A. C.E.  PROF. SILVANDIRA SOUSA LIMA")</f>
        <v>A.A. C.E.  PROF. SILVANDIRA SOUSA LIMA</v>
      </c>
      <c r="D25" s="23" t="str">
        <f ca="1">IFERROR(__xludf.DUMMYFUNCTION("""COMPUTED_VALUE"""),"01071403000194")</f>
        <v>01071403000194</v>
      </c>
      <c r="E25" s="27">
        <v>0</v>
      </c>
      <c r="F25" s="27">
        <v>0</v>
      </c>
      <c r="G25" s="27">
        <v>0</v>
      </c>
      <c r="H25" s="27">
        <v>3679.2</v>
      </c>
      <c r="I25" s="27">
        <v>0</v>
      </c>
      <c r="J25" s="27">
        <v>0</v>
      </c>
      <c r="K25" s="27">
        <v>2898</v>
      </c>
      <c r="L25" s="27">
        <v>0</v>
      </c>
      <c r="M25" s="28" t="str">
        <f ca="1">IFERROR(__xludf.DUMMYFUNCTION("""COMPUTED_VALUE"""),"001")</f>
        <v>001</v>
      </c>
      <c r="N25" s="28" t="str">
        <f ca="1">IFERROR(__xludf.DUMMYFUNCTION("""COMPUTED_VALUE"""),"0638")</f>
        <v>0638</v>
      </c>
      <c r="O25" s="28" t="str">
        <f ca="1">IFERROR(__xludf.DUMMYFUNCTION("""COMPUTED_VALUE"""),"0463922")</f>
        <v>0463922</v>
      </c>
      <c r="P25" s="34">
        <v>6577.2</v>
      </c>
    </row>
    <row r="26" spans="1:16" s="8" customFormat="1" ht="21.95" customHeight="1">
      <c r="A26" s="29" t="str">
        <f ca="1">IFERROR(__xludf.DUMMYFUNCTION("""COMPUTED_VALUE"""),"Araguaina")</f>
        <v>Araguaina</v>
      </c>
      <c r="B26" s="29" t="str">
        <f ca="1">IFERROR(__xludf.DUMMYFUNCTION("""COMPUTED_VALUE"""),"Araguaina")</f>
        <v>Araguaina</v>
      </c>
      <c r="C26" s="29" t="str">
        <f ca="1">IFERROR(__xludf.DUMMYFUNCTION("""COMPUTED_VALUE"""),"ASSOCIAÇÃO DE APOIO AO COL. EST. SONHO E LIBERDADE")</f>
        <v>ASSOCIAÇÃO DE APOIO AO COL. EST. SONHO E LIBERDADE</v>
      </c>
      <c r="D26" s="30" t="str">
        <f ca="1">IFERROR(__xludf.DUMMYFUNCTION("""COMPUTED_VALUE"""),"26609027000170")</f>
        <v>26609027000170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806.4</v>
      </c>
      <c r="M26" s="32" t="str">
        <f ca="1">IFERROR(__xludf.DUMMYFUNCTION("""COMPUTED_VALUE"""),"001")</f>
        <v>001</v>
      </c>
      <c r="N26" s="32" t="str">
        <f ca="1">IFERROR(__xludf.DUMMYFUNCTION("""COMPUTED_VALUE"""),"0638")</f>
        <v>0638</v>
      </c>
      <c r="O26" s="32" t="str">
        <f ca="1">IFERROR(__xludf.DUMMYFUNCTION("""COMPUTED_VALUE"""),"898767")</f>
        <v>898767</v>
      </c>
      <c r="P26" s="33">
        <v>806.4</v>
      </c>
    </row>
    <row r="27" spans="1:16" s="8" customFormat="1" ht="21.95" customHeight="1">
      <c r="A27" s="22" t="str">
        <f ca="1">IFERROR(__xludf.DUMMYFUNCTION("""COMPUTED_VALUE"""),"Araguaina")</f>
        <v>Araguaina</v>
      </c>
      <c r="B27" s="22" t="str">
        <f ca="1">IFERROR(__xludf.DUMMYFUNCTION("""COMPUTED_VALUE"""),"Araguaina")</f>
        <v>Araguaina</v>
      </c>
      <c r="C27" s="22" t="str">
        <f ca="1">IFERROR(__xludf.DUMMYFUNCTION("""COMPUTED_VALUE"""),"A.A. ESC. EST. MANOEL GOMES DA CUNHA")</f>
        <v>A.A. ESC. EST. MANOEL GOMES DA CUNHA</v>
      </c>
      <c r="D27" s="23" t="str">
        <f ca="1">IFERROR(__xludf.DUMMYFUNCTION("""COMPUTED_VALUE"""),"01443216000194")</f>
        <v>01443216000194</v>
      </c>
      <c r="E27" s="27">
        <v>0</v>
      </c>
      <c r="F27" s="27">
        <v>0</v>
      </c>
      <c r="G27" s="27">
        <v>58.8</v>
      </c>
      <c r="H27" s="27">
        <v>1848</v>
      </c>
      <c r="I27" s="27">
        <v>0</v>
      </c>
      <c r="J27" s="27">
        <v>0</v>
      </c>
      <c r="K27" s="27">
        <v>1209.5999999999999</v>
      </c>
      <c r="L27" s="27">
        <v>0</v>
      </c>
      <c r="M27" s="28" t="str">
        <f ca="1">IFERROR(__xludf.DUMMYFUNCTION("""COMPUTED_VALUE"""),"001")</f>
        <v>001</v>
      </c>
      <c r="N27" s="28" t="str">
        <f ca="1">IFERROR(__xludf.DUMMYFUNCTION("""COMPUTED_VALUE"""),"0638")</f>
        <v>0638</v>
      </c>
      <c r="O27" s="28" t="str">
        <f ca="1">IFERROR(__xludf.DUMMYFUNCTION("""COMPUTED_VALUE"""),"0468355")</f>
        <v>0468355</v>
      </c>
      <c r="P27" s="34">
        <v>3116.3999999999996</v>
      </c>
    </row>
    <row r="28" spans="1:16" s="8" customFormat="1" ht="21.95" customHeight="1">
      <c r="A28" s="29" t="str">
        <f ca="1">IFERROR(__xludf.DUMMYFUNCTION("""COMPUTED_VALUE"""),"Araguaina")</f>
        <v>Araguaina</v>
      </c>
      <c r="B28" s="29" t="str">
        <f ca="1">IFERROR(__xludf.DUMMYFUNCTION("""COMPUTED_VALUE"""),"Araguaina")</f>
        <v>Araguaina</v>
      </c>
      <c r="C28" s="29" t="str">
        <f ca="1">IFERROR(__xludf.DUMMYFUNCTION("""COMPUTED_VALUE"""),"ASSOCIAÇÃO DE APOIO DA ESCOLA ESPECIAL RAIO DE LUZ APAE ARAGUAÍNA")</f>
        <v>ASSOCIAÇÃO DE APOIO DA ESCOLA ESPECIAL RAIO DE LUZ APAE ARAGUAÍNA</v>
      </c>
      <c r="D28" s="30" t="str">
        <f ca="1">IFERROR(__xludf.DUMMYFUNCTION("""COMPUTED_VALUE"""),"07953043000130")</f>
        <v>07953043000130</v>
      </c>
      <c r="E28" s="31">
        <v>280.8</v>
      </c>
      <c r="F28" s="31">
        <v>495.6</v>
      </c>
      <c r="G28" s="31">
        <v>168</v>
      </c>
      <c r="H28" s="31">
        <v>0</v>
      </c>
      <c r="I28" s="31">
        <v>0</v>
      </c>
      <c r="J28" s="31">
        <v>0</v>
      </c>
      <c r="K28" s="31">
        <v>0</v>
      </c>
      <c r="L28" s="31">
        <v>1285.2</v>
      </c>
      <c r="M28" s="32" t="str">
        <f ca="1">IFERROR(__xludf.DUMMYFUNCTION("""COMPUTED_VALUE"""),"001")</f>
        <v>001</v>
      </c>
      <c r="N28" s="32" t="str">
        <f ca="1">IFERROR(__xludf.DUMMYFUNCTION("""COMPUTED_VALUE"""),"0638")</f>
        <v>0638</v>
      </c>
      <c r="O28" s="32" t="str">
        <f ca="1">IFERROR(__xludf.DUMMYFUNCTION("""COMPUTED_VALUE"""),"379921")</f>
        <v>379921</v>
      </c>
      <c r="P28" s="33">
        <v>2229.6000000000004</v>
      </c>
    </row>
    <row r="29" spans="1:16" s="8" customFormat="1" ht="21.95" customHeight="1">
      <c r="A29" s="35" t="str">
        <f ca="1">IFERROR(__xludf.DUMMYFUNCTION("""COMPUTED_VALUE"""),"Araguaina")</f>
        <v>Araguaina</v>
      </c>
      <c r="B29" s="35" t="str">
        <f ca="1">IFERROR(__xludf.DUMMYFUNCTION("""COMPUTED_VALUE"""),"Araguaina")</f>
        <v>Araguaina</v>
      </c>
      <c r="C29" s="35" t="str">
        <f ca="1">IFERROR(__xludf.DUMMYFUNCTION("""COMPUTED_VALUE"""),"A.A. ESC. E.FRANCISCO MAXIMO DE SOUZA")</f>
        <v>A.A. ESC. E.FRANCISCO MAXIMO DE SOUZA</v>
      </c>
      <c r="D29" s="23" t="str">
        <f ca="1">IFERROR(__xludf.DUMMYFUNCTION("""COMPUTED_VALUE"""),"01345127000105")</f>
        <v>01345127000105</v>
      </c>
      <c r="E29" s="27">
        <v>0</v>
      </c>
      <c r="F29" s="27">
        <v>0</v>
      </c>
      <c r="G29" s="27">
        <v>126</v>
      </c>
      <c r="H29" s="27">
        <v>2746.8</v>
      </c>
      <c r="I29" s="27">
        <v>0</v>
      </c>
      <c r="J29" s="27">
        <v>0</v>
      </c>
      <c r="K29" s="27">
        <v>0</v>
      </c>
      <c r="L29" s="27">
        <v>4872</v>
      </c>
      <c r="M29" s="28" t="str">
        <f ca="1">IFERROR(__xludf.DUMMYFUNCTION("""COMPUTED_VALUE"""),"001")</f>
        <v>001</v>
      </c>
      <c r="N29" s="28" t="str">
        <f ca="1">IFERROR(__xludf.DUMMYFUNCTION("""COMPUTED_VALUE"""),"0638")</f>
        <v>0638</v>
      </c>
      <c r="O29" s="28" t="str">
        <f ca="1">IFERROR(__xludf.DUMMYFUNCTION("""COMPUTED_VALUE"""),"0463167")</f>
        <v>0463167</v>
      </c>
      <c r="P29" s="34">
        <v>7744.8</v>
      </c>
    </row>
    <row r="30" spans="1:16" s="8" customFormat="1" ht="21.95" customHeight="1">
      <c r="A30" s="29" t="str">
        <f ca="1">IFERROR(__xludf.DUMMYFUNCTION("""COMPUTED_VALUE"""),"Araguaina")</f>
        <v>Araguaina</v>
      </c>
      <c r="B30" s="29" t="str">
        <f ca="1">IFERROR(__xludf.DUMMYFUNCTION("""COMPUTED_VALUE"""),"Araguaina")</f>
        <v>Araguaina</v>
      </c>
      <c r="C30" s="29" t="str">
        <f ca="1">IFERROR(__xludf.DUMMYFUNCTION("""COMPUTED_VALUE"""),"A.A. ESC. EST. DEP.FED.JOSE A. DE ASSIS")</f>
        <v>A.A. ESC. EST. DEP.FED.JOSE A. DE ASSIS</v>
      </c>
      <c r="D30" s="30" t="str">
        <f ca="1">IFERROR(__xludf.DUMMYFUNCTION("""COMPUTED_VALUE"""),"01186464000105")</f>
        <v>01186464000105</v>
      </c>
      <c r="E30" s="31">
        <v>0</v>
      </c>
      <c r="F30" s="31">
        <v>0</v>
      </c>
      <c r="G30" s="31">
        <v>109.2</v>
      </c>
      <c r="H30" s="31">
        <v>2167.1999999999998</v>
      </c>
      <c r="I30" s="31">
        <v>0</v>
      </c>
      <c r="J30" s="31">
        <v>0</v>
      </c>
      <c r="K30" s="31">
        <v>3301.2</v>
      </c>
      <c r="L30" s="31">
        <v>0</v>
      </c>
      <c r="M30" s="32" t="str">
        <f ca="1">IFERROR(__xludf.DUMMYFUNCTION("""COMPUTED_VALUE"""),"001")</f>
        <v>001</v>
      </c>
      <c r="N30" s="32" t="str">
        <f ca="1">IFERROR(__xludf.DUMMYFUNCTION("""COMPUTED_VALUE"""),"0638")</f>
        <v>0638</v>
      </c>
      <c r="O30" s="32" t="str">
        <f ca="1">IFERROR(__xludf.DUMMYFUNCTION("""COMPUTED_VALUE"""),"465089")</f>
        <v>465089</v>
      </c>
      <c r="P30" s="33">
        <v>5577.5999999999995</v>
      </c>
    </row>
    <row r="31" spans="1:16" s="8" customFormat="1" ht="21.95" customHeight="1">
      <c r="A31" s="22" t="str">
        <f ca="1">IFERROR(__xludf.DUMMYFUNCTION("""COMPUTED_VALUE"""),"Araguaina")</f>
        <v>Araguaina</v>
      </c>
      <c r="B31" s="22" t="str">
        <f ca="1">IFERROR(__xludf.DUMMYFUNCTION("""COMPUTED_VALUE"""),"Araguaina")</f>
        <v>Araguaina</v>
      </c>
      <c r="C31" s="22" t="str">
        <f ca="1">IFERROR(__xludf.DUMMYFUNCTION("""COMPUTED_VALUE"""),"ASS. COM. COL EST. SANCHA FERREIRA")</f>
        <v>ASS. COM. COL EST. SANCHA FERREIRA</v>
      </c>
      <c r="D31" s="23" t="str">
        <f ca="1">IFERROR(__xludf.DUMMYFUNCTION("""COMPUTED_VALUE"""),"01338702000142")</f>
        <v>01338702000142</v>
      </c>
      <c r="E31" s="27">
        <v>0</v>
      </c>
      <c r="F31" s="27">
        <v>0</v>
      </c>
      <c r="G31" s="27">
        <v>100.8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8" t="str">
        <f ca="1">IFERROR(__xludf.DUMMYFUNCTION("""COMPUTED_VALUE"""),"001")</f>
        <v>001</v>
      </c>
      <c r="N31" s="28" t="str">
        <f ca="1">IFERROR(__xludf.DUMMYFUNCTION("""COMPUTED_VALUE"""),"0638")</f>
        <v>0638</v>
      </c>
      <c r="O31" s="28" t="str">
        <f ca="1">IFERROR(__xludf.DUMMYFUNCTION("""COMPUTED_VALUE"""),"0466913")</f>
        <v>0466913</v>
      </c>
      <c r="P31" s="34">
        <v>100.8</v>
      </c>
    </row>
    <row r="32" spans="1:16" s="8" customFormat="1" ht="21.95" customHeight="1">
      <c r="A32" s="29" t="str">
        <f ca="1">IFERROR(__xludf.DUMMYFUNCTION("""COMPUTED_VALUE"""),"Araguaina")</f>
        <v>Araguaina</v>
      </c>
      <c r="B32" s="29" t="str">
        <f ca="1">IFERROR(__xludf.DUMMYFUNCTION("""COMPUTED_VALUE"""),"Araguaina")</f>
        <v>Araguaina</v>
      </c>
      <c r="C32" s="29" t="str">
        <f ca="1">IFERROR(__xludf.DUMMYFUNCTION("""COMPUTED_VALUE"""),"A.A. ESC. HENRIQUE CIRQUEIRA AMORIM")</f>
        <v>A.A. ESC. HENRIQUE CIRQUEIRA AMORIM</v>
      </c>
      <c r="D32" s="30" t="str">
        <f ca="1">IFERROR(__xludf.DUMMYFUNCTION("""COMPUTED_VALUE"""),"01088234000103")</f>
        <v>01088234000103</v>
      </c>
      <c r="E32" s="31">
        <v>0</v>
      </c>
      <c r="F32" s="31">
        <v>0</v>
      </c>
      <c r="G32" s="31">
        <v>0</v>
      </c>
      <c r="H32" s="31">
        <v>2940</v>
      </c>
      <c r="I32" s="31">
        <v>0</v>
      </c>
      <c r="J32" s="31">
        <v>0</v>
      </c>
      <c r="K32" s="31">
        <v>1629.6</v>
      </c>
      <c r="L32" s="31">
        <v>932.4</v>
      </c>
      <c r="M32" s="32" t="str">
        <f ca="1">IFERROR(__xludf.DUMMYFUNCTION("""COMPUTED_VALUE"""),"001")</f>
        <v>001</v>
      </c>
      <c r="N32" s="32" t="str">
        <f ca="1">IFERROR(__xludf.DUMMYFUNCTION("""COMPUTED_VALUE"""),"0638")</f>
        <v>0638</v>
      </c>
      <c r="O32" s="32" t="str">
        <f ca="1">IFERROR(__xludf.DUMMYFUNCTION("""COMPUTED_VALUE"""),"0465194")</f>
        <v>0465194</v>
      </c>
      <c r="P32" s="33">
        <v>5502</v>
      </c>
    </row>
    <row r="33" spans="1:16" s="8" customFormat="1" ht="21.95" customHeight="1">
      <c r="A33" s="22" t="str">
        <f ca="1">IFERROR(__xludf.DUMMYFUNCTION("""COMPUTED_VALUE"""),"Araguaina")</f>
        <v>Araguaina</v>
      </c>
      <c r="B33" s="22" t="str">
        <f ca="1">IFERROR(__xludf.DUMMYFUNCTION("""COMPUTED_VALUE"""),"Araguaina")</f>
        <v>Araguaina</v>
      </c>
      <c r="C33" s="22" t="str">
        <f ca="1">IFERROR(__xludf.DUMMYFUNCTION("""COMPUTED_VALUE"""),"A.A. ESC. EST. JOAO GUILHERME L. KUNZE")</f>
        <v>A.A. ESC. EST. JOAO GUILHERME L. KUNZE</v>
      </c>
      <c r="D33" s="23" t="str">
        <f ca="1">IFERROR(__xludf.DUMMYFUNCTION("""COMPUTED_VALUE"""),"01071400000150")</f>
        <v>01071400000150</v>
      </c>
      <c r="E33" s="27">
        <v>0</v>
      </c>
      <c r="F33" s="27">
        <v>0</v>
      </c>
      <c r="G33" s="27">
        <v>134.4</v>
      </c>
      <c r="H33" s="27">
        <v>2637.6</v>
      </c>
      <c r="I33" s="27">
        <v>0</v>
      </c>
      <c r="J33" s="27">
        <v>0</v>
      </c>
      <c r="K33" s="27">
        <v>117.6</v>
      </c>
      <c r="L33" s="27">
        <v>1310.4000000000001</v>
      </c>
      <c r="M33" s="28" t="str">
        <f ca="1">IFERROR(__xludf.DUMMYFUNCTION("""COMPUTED_VALUE"""),"001")</f>
        <v>001</v>
      </c>
      <c r="N33" s="28" t="str">
        <f ca="1">IFERROR(__xludf.DUMMYFUNCTION("""COMPUTED_VALUE"""),"0638")</f>
        <v>0638</v>
      </c>
      <c r="O33" s="28" t="str">
        <f ca="1">IFERROR(__xludf.DUMMYFUNCTION("""COMPUTED_VALUE"""),"0463639")</f>
        <v>0463639</v>
      </c>
      <c r="P33" s="34">
        <v>4200</v>
      </c>
    </row>
    <row r="34" spans="1:16" s="8" customFormat="1" ht="21.95" customHeight="1">
      <c r="A34" s="29" t="str">
        <f ca="1">IFERROR(__xludf.DUMMYFUNCTION("""COMPUTED_VALUE"""),"Araguaina")</f>
        <v>Araguaina</v>
      </c>
      <c r="B34" s="29" t="str">
        <f ca="1">IFERROR(__xludf.DUMMYFUNCTION("""COMPUTED_VALUE"""),"Araguaina")</f>
        <v>Araguaina</v>
      </c>
      <c r="C34" s="29" t="str">
        <f ca="1">IFERROR(__xludf.DUMMYFUNCTION("""COMPUTED_VALUE"""),"A.A. ESCOLA ESTADUAL MAL. RONDON")</f>
        <v>A.A. ESCOLA ESTADUAL MAL. RONDON</v>
      </c>
      <c r="D34" s="30" t="str">
        <f ca="1">IFERROR(__xludf.DUMMYFUNCTION("""COMPUTED_VALUE"""),"01068349000128")</f>
        <v>01068349000128</v>
      </c>
      <c r="E34" s="31">
        <v>0</v>
      </c>
      <c r="F34" s="31">
        <v>0</v>
      </c>
      <c r="G34" s="31">
        <v>218.4</v>
      </c>
      <c r="H34" s="31">
        <v>4393.2</v>
      </c>
      <c r="I34" s="31">
        <v>0</v>
      </c>
      <c r="J34" s="31">
        <v>0</v>
      </c>
      <c r="K34" s="31">
        <v>294</v>
      </c>
      <c r="L34" s="31">
        <v>1318.8</v>
      </c>
      <c r="M34" s="32" t="str">
        <f ca="1">IFERROR(__xludf.DUMMYFUNCTION("""COMPUTED_VALUE"""),"001")</f>
        <v>001</v>
      </c>
      <c r="N34" s="32" t="str">
        <f ca="1">IFERROR(__xludf.DUMMYFUNCTION("""COMPUTED_VALUE"""),"0638")</f>
        <v>0638</v>
      </c>
      <c r="O34" s="32" t="str">
        <f ca="1">IFERROR(__xludf.DUMMYFUNCTION("""COMPUTED_VALUE"""),"046368X")</f>
        <v>046368X</v>
      </c>
      <c r="P34" s="33">
        <v>6224.4</v>
      </c>
    </row>
    <row r="35" spans="1:16" s="8" customFormat="1" ht="21.95" customHeight="1">
      <c r="A35" s="22" t="str">
        <f ca="1">IFERROR(__xludf.DUMMYFUNCTION("""COMPUTED_VALUE"""),"Araguaina")</f>
        <v>Araguaina</v>
      </c>
      <c r="B35" s="22" t="str">
        <f ca="1">IFERROR(__xludf.DUMMYFUNCTION("""COMPUTED_VALUE"""),"Araguaina")</f>
        <v>Araguaina</v>
      </c>
      <c r="C35" s="22" t="str">
        <f ca="1">IFERROR(__xludf.DUMMYFUNCTION("""COMPUTED_VALUE"""),"A. DE A.DA ESCOLA ESTADUAL MODELO")</f>
        <v>A. DE A.DA ESCOLA ESTADUAL MODELO</v>
      </c>
      <c r="D35" s="23" t="str">
        <f ca="1">IFERROR(__xludf.DUMMYFUNCTION("""COMPUTED_VALUE"""),"01133696000197")</f>
        <v>01133696000197</v>
      </c>
      <c r="E35" s="27">
        <v>0</v>
      </c>
      <c r="F35" s="27">
        <v>0</v>
      </c>
      <c r="G35" s="27">
        <v>277.2</v>
      </c>
      <c r="H35" s="27">
        <v>4300.8</v>
      </c>
      <c r="I35" s="27">
        <v>0</v>
      </c>
      <c r="J35" s="27">
        <v>0</v>
      </c>
      <c r="K35" s="27">
        <v>0</v>
      </c>
      <c r="L35" s="27">
        <v>0</v>
      </c>
      <c r="M35" s="28" t="str">
        <f ca="1">IFERROR(__xludf.DUMMYFUNCTION("""COMPUTED_VALUE"""),"001")</f>
        <v>001</v>
      </c>
      <c r="N35" s="28" t="str">
        <f ca="1">IFERROR(__xludf.DUMMYFUNCTION("""COMPUTED_VALUE"""),"0638")</f>
        <v>0638</v>
      </c>
      <c r="O35" s="28" t="str">
        <f ca="1">IFERROR(__xludf.DUMMYFUNCTION("""COMPUTED_VALUE"""),"484520")</f>
        <v>484520</v>
      </c>
      <c r="P35" s="34">
        <v>4578</v>
      </c>
    </row>
    <row r="36" spans="1:16" s="8" customFormat="1" ht="21.95" customHeight="1">
      <c r="A36" s="29" t="str">
        <f ca="1">IFERROR(__xludf.DUMMYFUNCTION("""COMPUTED_VALUE"""),"Araguaina")</f>
        <v>Araguaina</v>
      </c>
      <c r="B36" s="29" t="str">
        <f ca="1">IFERROR(__xludf.DUMMYFUNCTION("""COMPUTED_VALUE"""),"Araguaina")</f>
        <v>Araguaina</v>
      </c>
      <c r="C36" s="29" t="str">
        <f ca="1">IFERROR(__xludf.DUMMYFUNCTION("""COMPUTED_VALUE"""),"A.A. ESC. E.NORTE GOIANO DE ARAGUAINA")</f>
        <v>A.A. ESC. E.NORTE GOIANO DE ARAGUAINA</v>
      </c>
      <c r="D36" s="30" t="str">
        <f ca="1">IFERROR(__xludf.DUMMYFUNCTION("""COMPUTED_VALUE"""),"01195483000190")</f>
        <v>01195483000190</v>
      </c>
      <c r="E36" s="31">
        <v>0</v>
      </c>
      <c r="F36" s="31">
        <v>0</v>
      </c>
      <c r="G36" s="31">
        <v>0</v>
      </c>
      <c r="H36" s="31">
        <v>1688.4</v>
      </c>
      <c r="I36" s="31">
        <v>0</v>
      </c>
      <c r="J36" s="31">
        <v>0</v>
      </c>
      <c r="K36" s="31">
        <v>0</v>
      </c>
      <c r="L36" s="31">
        <v>0</v>
      </c>
      <c r="M36" s="32" t="str">
        <f ca="1">IFERROR(__xludf.DUMMYFUNCTION("""COMPUTED_VALUE"""),"001")</f>
        <v>001</v>
      </c>
      <c r="N36" s="32" t="str">
        <f ca="1">IFERROR(__xludf.DUMMYFUNCTION("""COMPUTED_VALUE"""),"0638")</f>
        <v>0638</v>
      </c>
      <c r="O36" s="32" t="str">
        <f ca="1">IFERROR(__xludf.DUMMYFUNCTION("""COMPUTED_VALUE"""),"0464724")</f>
        <v>0464724</v>
      </c>
      <c r="P36" s="33">
        <v>1688.4</v>
      </c>
    </row>
    <row r="37" spans="1:16" s="8" customFormat="1" ht="21.95" customHeight="1">
      <c r="A37" s="22" t="str">
        <f ca="1">IFERROR(__xludf.DUMMYFUNCTION("""COMPUTED_VALUE"""),"Araguaina")</f>
        <v>Araguaina</v>
      </c>
      <c r="B37" s="22" t="str">
        <f ca="1">IFERROR(__xludf.DUMMYFUNCTION("""COMPUTED_VALUE"""),"Araguaina")</f>
        <v>Araguaina</v>
      </c>
      <c r="C37" s="22" t="str">
        <f ca="1">IFERROR(__xludf.DUMMYFUNCTION("""COMPUTED_VALUE"""),"A.A. ESCOLA EST.PROF.ALFREDO NASSER")</f>
        <v>A.A. ESCOLA EST.PROF.ALFREDO NASSER</v>
      </c>
      <c r="D37" s="23" t="str">
        <f ca="1">IFERROR(__xludf.DUMMYFUNCTION("""COMPUTED_VALUE"""),"01223632000187")</f>
        <v>01223632000187</v>
      </c>
      <c r="E37" s="27">
        <v>0</v>
      </c>
      <c r="F37" s="27">
        <v>0</v>
      </c>
      <c r="G37" s="27">
        <v>0</v>
      </c>
      <c r="H37" s="27">
        <v>5880</v>
      </c>
      <c r="I37" s="27">
        <v>0</v>
      </c>
      <c r="J37" s="27">
        <v>0</v>
      </c>
      <c r="K37" s="27">
        <v>0</v>
      </c>
      <c r="L37" s="27">
        <v>0</v>
      </c>
      <c r="M37" s="28" t="str">
        <f ca="1">IFERROR(__xludf.DUMMYFUNCTION("""COMPUTED_VALUE"""),"001")</f>
        <v>001</v>
      </c>
      <c r="N37" s="28" t="str">
        <f ca="1">IFERROR(__xludf.DUMMYFUNCTION("""COMPUTED_VALUE"""),"0638")</f>
        <v>0638</v>
      </c>
      <c r="O37" s="28" t="str">
        <f ca="1">IFERROR(__xludf.DUMMYFUNCTION("""COMPUTED_VALUE"""),"0465135")</f>
        <v>0465135</v>
      </c>
      <c r="P37" s="34">
        <v>5880</v>
      </c>
    </row>
    <row r="38" spans="1:16" s="8" customFormat="1" ht="21.95" customHeight="1">
      <c r="A38" s="29" t="str">
        <f ca="1">IFERROR(__xludf.DUMMYFUNCTION("""COMPUTED_VALUE"""),"Araguaina")</f>
        <v>Araguaina</v>
      </c>
      <c r="B38" s="29" t="str">
        <f ca="1">IFERROR(__xludf.DUMMYFUNCTION("""COMPUTED_VALUE"""),"Araguaina")</f>
        <v>Araguaina</v>
      </c>
      <c r="C38" s="29" t="str">
        <f ca="1">IFERROR(__xludf.DUMMYFUNCTION("""COMPUTED_VALUE"""),"A.A. ESC. EST. DE ARAGUAINA / PROF. JOÃO ALVES BATISTA")</f>
        <v>A.A. ESC. EST. DE ARAGUAINA / PROF. JOÃO ALVES BATISTA</v>
      </c>
      <c r="D38" s="30" t="str">
        <f ca="1">IFERROR(__xludf.DUMMYFUNCTION("""COMPUTED_VALUE"""),"25062332000121")</f>
        <v>25062332000121</v>
      </c>
      <c r="E38" s="31">
        <v>0</v>
      </c>
      <c r="F38" s="31">
        <v>0</v>
      </c>
      <c r="G38" s="31">
        <v>134.4</v>
      </c>
      <c r="H38" s="31">
        <v>3099.6</v>
      </c>
      <c r="I38" s="31">
        <v>0</v>
      </c>
      <c r="J38" s="31">
        <v>0</v>
      </c>
      <c r="K38" s="31">
        <v>966</v>
      </c>
      <c r="L38" s="31">
        <v>0</v>
      </c>
      <c r="M38" s="32" t="str">
        <f ca="1">IFERROR(__xludf.DUMMYFUNCTION("""COMPUTED_VALUE"""),"001")</f>
        <v>001</v>
      </c>
      <c r="N38" s="32" t="str">
        <f ca="1">IFERROR(__xludf.DUMMYFUNCTION("""COMPUTED_VALUE"""),"0638")</f>
        <v>0638</v>
      </c>
      <c r="O38" s="32" t="str">
        <f ca="1">IFERROR(__xludf.DUMMYFUNCTION("""COMPUTED_VALUE"""),"463116")</f>
        <v>463116</v>
      </c>
      <c r="P38" s="33">
        <v>4200</v>
      </c>
    </row>
    <row r="39" spans="1:16" s="8" customFormat="1" ht="21.95" customHeight="1">
      <c r="A39" s="22" t="str">
        <f ca="1">IFERROR(__xludf.DUMMYFUNCTION("""COMPUTED_VALUE"""),"Araguaina")</f>
        <v>Araguaina</v>
      </c>
      <c r="B39" s="22" t="str">
        <f ca="1">IFERROR(__xludf.DUMMYFUNCTION("""COMPUTED_VALUE"""),"Araguaina")</f>
        <v>Araguaina</v>
      </c>
      <c r="C39" s="22" t="str">
        <f ca="1">IFERROR(__xludf.DUMMYFUNCTION("""COMPUTED_VALUE"""),"A.A. ESCOLA ESTADUAL VILA NOVA")</f>
        <v>A.A. ESCOLA ESTADUAL VILA NOVA</v>
      </c>
      <c r="D39" s="23" t="str">
        <f ca="1">IFERROR(__xludf.DUMMYFUNCTION("""COMPUTED_VALUE"""),"01071404000139")</f>
        <v>01071404000139</v>
      </c>
      <c r="E39" s="27">
        <v>0</v>
      </c>
      <c r="F39" s="27">
        <v>0</v>
      </c>
      <c r="G39" s="27">
        <v>142.80000000000001</v>
      </c>
      <c r="H39" s="27">
        <v>2671.2</v>
      </c>
      <c r="I39" s="27">
        <v>0</v>
      </c>
      <c r="J39" s="27">
        <v>0</v>
      </c>
      <c r="K39" s="27">
        <v>0</v>
      </c>
      <c r="L39" s="27">
        <v>999.6</v>
      </c>
      <c r="M39" s="28" t="str">
        <f ca="1">IFERROR(__xludf.DUMMYFUNCTION("""COMPUTED_VALUE"""),"001")</f>
        <v>001</v>
      </c>
      <c r="N39" s="28" t="str">
        <f ca="1">IFERROR(__xludf.DUMMYFUNCTION("""COMPUTED_VALUE"""),"0638")</f>
        <v>0638</v>
      </c>
      <c r="O39" s="28" t="str">
        <f ca="1">IFERROR(__xludf.DUMMYFUNCTION("""COMPUTED_VALUE"""),"0463744")</f>
        <v>0463744</v>
      </c>
      <c r="P39" s="34">
        <v>3813.6</v>
      </c>
    </row>
    <row r="40" spans="1:16" s="8" customFormat="1" ht="21.95" customHeight="1">
      <c r="A40" s="29" t="str">
        <f ca="1">IFERROR(__xludf.DUMMYFUNCTION("""COMPUTED_VALUE"""),"Araguaina")</f>
        <v>Araguaina</v>
      </c>
      <c r="B40" s="29" t="str">
        <f ca="1">IFERROR(__xludf.DUMMYFUNCTION("""COMPUTED_VALUE"""),"Araguaina")</f>
        <v>Araguaina</v>
      </c>
      <c r="C40" s="29" t="str">
        <f ca="1">IFERROR(__xludf.DUMMYFUNCTION("""COMPUTED_VALUE"""),"A.A. ESC. EST.WELDER M.ABREU SALES")</f>
        <v>A.A. ESC. EST.WELDER M.ABREU SALES</v>
      </c>
      <c r="D40" s="30" t="str">
        <f ca="1">IFERROR(__xludf.DUMMYFUNCTION("""COMPUTED_VALUE"""),"01190182000173")</f>
        <v>01190182000173</v>
      </c>
      <c r="E40" s="31">
        <v>0</v>
      </c>
      <c r="F40" s="31">
        <v>0</v>
      </c>
      <c r="G40" s="31">
        <v>218.4</v>
      </c>
      <c r="H40" s="31">
        <v>4393.2</v>
      </c>
      <c r="I40" s="31">
        <v>0</v>
      </c>
      <c r="J40" s="31">
        <v>0</v>
      </c>
      <c r="K40" s="31">
        <v>0</v>
      </c>
      <c r="L40" s="31">
        <v>0</v>
      </c>
      <c r="M40" s="32" t="str">
        <f ca="1">IFERROR(__xludf.DUMMYFUNCTION("""COMPUTED_VALUE"""),"001")</f>
        <v>001</v>
      </c>
      <c r="N40" s="32" t="str">
        <f ca="1">IFERROR(__xludf.DUMMYFUNCTION("""COMPUTED_VALUE"""),"0638")</f>
        <v>0638</v>
      </c>
      <c r="O40" s="32" t="str">
        <f ca="1">IFERROR(__xludf.DUMMYFUNCTION("""COMPUTED_VALUE"""),"0465054")</f>
        <v>0465054</v>
      </c>
      <c r="P40" s="33">
        <v>4611.5999999999995</v>
      </c>
    </row>
    <row r="41" spans="1:16" s="8" customFormat="1" ht="21.95" customHeight="1">
      <c r="A41" s="22" t="str">
        <f ca="1">IFERROR(__xludf.DUMMYFUNCTION("""COMPUTED_VALUE"""),"Araguaina")</f>
        <v>Araguaina</v>
      </c>
      <c r="B41" s="22" t="str">
        <f ca="1">IFERROR(__xludf.DUMMYFUNCTION("""COMPUTED_VALUE"""),"Araguaina")</f>
        <v>Araguaina</v>
      </c>
      <c r="C41" s="22" t="str">
        <f ca="1">IFERROR(__xludf.DUMMYFUNCTION("""COMPUTED_VALUE"""),"A. DE AP. DA E.PAROQUIAL LUIZ AUGUSTO")</f>
        <v>A. DE AP. DA E.PAROQUIAL LUIZ AUGUSTO</v>
      </c>
      <c r="D41" s="23" t="str">
        <f ca="1">IFERROR(__xludf.DUMMYFUNCTION("""COMPUTED_VALUE"""),"01912262000195")</f>
        <v>01912262000195</v>
      </c>
      <c r="E41" s="27">
        <v>0</v>
      </c>
      <c r="F41" s="27">
        <v>0</v>
      </c>
      <c r="G41" s="27">
        <v>0</v>
      </c>
      <c r="H41" s="27">
        <v>7005.6</v>
      </c>
      <c r="I41" s="27">
        <v>0</v>
      </c>
      <c r="J41" s="27">
        <v>0</v>
      </c>
      <c r="K41" s="27">
        <v>0</v>
      </c>
      <c r="L41" s="27">
        <v>0</v>
      </c>
      <c r="M41" s="28" t="str">
        <f ca="1">IFERROR(__xludf.DUMMYFUNCTION("""COMPUTED_VALUE"""),"001")</f>
        <v>001</v>
      </c>
      <c r="N41" s="28" t="str">
        <f ca="1">IFERROR(__xludf.DUMMYFUNCTION("""COMPUTED_VALUE"""),"0638")</f>
        <v>0638</v>
      </c>
      <c r="O41" s="28" t="str">
        <f ca="1">IFERROR(__xludf.DUMMYFUNCTION("""COMPUTED_VALUE"""),"486000")</f>
        <v>486000</v>
      </c>
      <c r="P41" s="34">
        <v>7005.6</v>
      </c>
    </row>
    <row r="42" spans="1:16" s="8" customFormat="1" ht="21.95" customHeight="1">
      <c r="A42" s="29" t="str">
        <f ca="1">IFERROR(__xludf.DUMMYFUNCTION("""COMPUTED_VALUE"""),"Araguaina")</f>
        <v>Araguaina</v>
      </c>
      <c r="B42" s="29" t="str">
        <f ca="1">IFERROR(__xludf.DUMMYFUNCTION("""COMPUTED_VALUE"""),"Araguaina")</f>
        <v>Araguaina</v>
      </c>
      <c r="C42" s="29" t="str">
        <f ca="1">IFERROR(__xludf.DUMMYFUNCTION("""COMPUTED_VALUE"""),"A.A. DAS ESCOLAS ISOLADAS E REUNIDAS DA DRE ARAGUAINA")</f>
        <v>A.A. DAS ESCOLAS ISOLADAS E REUNIDAS DA DRE ARAGUAINA</v>
      </c>
      <c r="D42" s="30" t="str">
        <f ca="1">IFERROR(__xludf.DUMMYFUNCTION("""COMPUTED_VALUE"""),"02629601000193")</f>
        <v>02629601000193</v>
      </c>
      <c r="E42" s="31">
        <v>0</v>
      </c>
      <c r="F42" s="31">
        <v>0</v>
      </c>
      <c r="G42" s="31">
        <v>0</v>
      </c>
      <c r="H42" s="31">
        <v>0</v>
      </c>
      <c r="I42" s="31">
        <v>4174.8</v>
      </c>
      <c r="J42" s="31">
        <v>0</v>
      </c>
      <c r="K42" s="31">
        <v>0</v>
      </c>
      <c r="L42" s="31">
        <v>0</v>
      </c>
      <c r="M42" s="32" t="str">
        <f ca="1">IFERROR(__xludf.DUMMYFUNCTION("""COMPUTED_VALUE"""),"001")</f>
        <v>001</v>
      </c>
      <c r="N42" s="32" t="str">
        <f ca="1">IFERROR(__xludf.DUMMYFUNCTION("""COMPUTED_VALUE"""),"0638")</f>
        <v>0638</v>
      </c>
      <c r="O42" s="32" t="str">
        <f ca="1">IFERROR(__xludf.DUMMYFUNCTION("""COMPUTED_VALUE"""),"352403")</f>
        <v>352403</v>
      </c>
      <c r="P42" s="33">
        <v>4174.8</v>
      </c>
    </row>
    <row r="43" spans="1:16" s="8" customFormat="1" ht="21.95" customHeight="1">
      <c r="A43" s="22" t="str">
        <f ca="1">IFERROR(__xludf.DUMMYFUNCTION("""COMPUTED_VALUE"""),"Araguaina")</f>
        <v>Araguaina</v>
      </c>
      <c r="B43" s="22" t="str">
        <f ca="1">IFERROR(__xludf.DUMMYFUNCTION("""COMPUTED_VALUE"""),"Araguana")</f>
        <v>Araguana</v>
      </c>
      <c r="C43" s="22" t="str">
        <f ca="1">IFERROR(__xludf.DUMMYFUNCTION("""COMPUTED_VALUE"""),"ASS. APOIO ESC. EST. MACHADO DE ASSIS")</f>
        <v>ASS. APOIO ESC. EST. MACHADO DE ASSIS</v>
      </c>
      <c r="D43" s="23" t="str">
        <f ca="1">IFERROR(__xludf.DUMMYFUNCTION("""COMPUTED_VALUE"""),"01243663000108")</f>
        <v>01243663000108</v>
      </c>
      <c r="E43" s="27">
        <v>0</v>
      </c>
      <c r="F43" s="27">
        <v>0</v>
      </c>
      <c r="G43" s="27">
        <v>0</v>
      </c>
      <c r="H43" s="27">
        <v>2990.4</v>
      </c>
      <c r="I43" s="27">
        <v>0</v>
      </c>
      <c r="J43" s="27">
        <v>0</v>
      </c>
      <c r="K43" s="27">
        <v>1310.4000000000001</v>
      </c>
      <c r="L43" s="27">
        <v>344.4</v>
      </c>
      <c r="M43" s="28" t="str">
        <f ca="1">IFERROR(__xludf.DUMMYFUNCTION("""COMPUTED_VALUE"""),"001")</f>
        <v>001</v>
      </c>
      <c r="N43" s="28" t="str">
        <f ca="1">IFERROR(__xludf.DUMMYFUNCTION("""COMPUTED_VALUE"""),"3773")</f>
        <v>3773</v>
      </c>
      <c r="O43" s="28" t="str">
        <f ca="1">IFERROR(__xludf.DUMMYFUNCTION("""COMPUTED_VALUE"""),"322091")</f>
        <v>322091</v>
      </c>
      <c r="P43" s="34">
        <v>4645.2</v>
      </c>
    </row>
    <row r="44" spans="1:16" s="8" customFormat="1" ht="21.95" customHeight="1">
      <c r="A44" s="29" t="str">
        <f ca="1">IFERROR(__xludf.DUMMYFUNCTION("""COMPUTED_VALUE"""),"Araguaina")</f>
        <v>Araguaina</v>
      </c>
      <c r="B44" s="29" t="str">
        <f ca="1">IFERROR(__xludf.DUMMYFUNCTION("""COMPUTED_VALUE"""),"Araguana")</f>
        <v>Araguana</v>
      </c>
      <c r="C44" s="29" t="str">
        <f ca="1">IFERROR(__xludf.DUMMYFUNCTION("""COMPUTED_VALUE"""),"A.A. ESC. EST. SAO PEDRO")</f>
        <v>A.A. ESC. EST. SAO PEDRO</v>
      </c>
      <c r="D44" s="30" t="str">
        <f ca="1">IFERROR(__xludf.DUMMYFUNCTION("""COMPUTED_VALUE"""),"01230353000140")</f>
        <v>01230353000140</v>
      </c>
      <c r="E44" s="31">
        <v>0</v>
      </c>
      <c r="F44" s="31">
        <v>0</v>
      </c>
      <c r="G44" s="31">
        <v>0</v>
      </c>
      <c r="H44" s="31">
        <v>722.4</v>
      </c>
      <c r="I44" s="31">
        <v>0</v>
      </c>
      <c r="J44" s="31">
        <v>0</v>
      </c>
      <c r="K44" s="31">
        <v>361.2</v>
      </c>
      <c r="L44" s="31">
        <v>0</v>
      </c>
      <c r="M44" s="32" t="str">
        <f ca="1">IFERROR(__xludf.DUMMYFUNCTION("""COMPUTED_VALUE"""),"001")</f>
        <v>001</v>
      </c>
      <c r="N44" s="32" t="str">
        <f ca="1">IFERROR(__xludf.DUMMYFUNCTION("""COMPUTED_VALUE"""),"0638")</f>
        <v>0638</v>
      </c>
      <c r="O44" s="32" t="str">
        <f ca="1">IFERROR(__xludf.DUMMYFUNCTION("""COMPUTED_VALUE"""),"73903")</f>
        <v>73903</v>
      </c>
      <c r="P44" s="33">
        <v>1083.5999999999999</v>
      </c>
    </row>
    <row r="45" spans="1:16" s="8" customFormat="1" ht="21.95" customHeight="1">
      <c r="A45" s="22" t="str">
        <f ca="1">IFERROR(__xludf.DUMMYFUNCTION("""COMPUTED_VALUE"""),"Araguaina")</f>
        <v>Araguaina</v>
      </c>
      <c r="B45" s="22" t="str">
        <f ca="1">IFERROR(__xludf.DUMMYFUNCTION("""COMPUTED_VALUE"""),"Babaculandia")</f>
        <v>Babaculandia</v>
      </c>
      <c r="C45" s="22" t="str">
        <f ca="1">IFERROR(__xludf.DUMMYFUNCTION("""COMPUTED_VALUE"""),"A.PAIS E M.C.E.LEOPOLDO DE BULHOES")</f>
        <v>A.PAIS E M.C.E.LEOPOLDO DE BULHOES</v>
      </c>
      <c r="D45" s="23" t="str">
        <f ca="1">IFERROR(__xludf.DUMMYFUNCTION("""COMPUTED_VALUE"""),"01146116000104")</f>
        <v>01146116000104</v>
      </c>
      <c r="E45" s="27">
        <v>0</v>
      </c>
      <c r="F45" s="27">
        <v>0</v>
      </c>
      <c r="G45" s="27">
        <v>75.599999999999994</v>
      </c>
      <c r="H45" s="27">
        <v>1688.4</v>
      </c>
      <c r="I45" s="27">
        <v>0</v>
      </c>
      <c r="J45" s="27">
        <v>0</v>
      </c>
      <c r="K45" s="27">
        <v>2200.8000000000002</v>
      </c>
      <c r="L45" s="27">
        <v>0</v>
      </c>
      <c r="M45" s="28" t="str">
        <f ca="1">IFERROR(__xludf.DUMMYFUNCTION("""COMPUTED_VALUE"""),"001")</f>
        <v>001</v>
      </c>
      <c r="N45" s="28" t="str">
        <f ca="1">IFERROR(__xludf.DUMMYFUNCTION("""COMPUTED_VALUE"""),"0638")</f>
        <v>0638</v>
      </c>
      <c r="O45" s="28" t="str">
        <f ca="1">IFERROR(__xludf.DUMMYFUNCTION("""COMPUTED_VALUE"""),"465232")</f>
        <v>465232</v>
      </c>
      <c r="P45" s="34">
        <v>3964.8</v>
      </c>
    </row>
    <row r="46" spans="1:16" s="8" customFormat="1" ht="21.95" customHeight="1">
      <c r="A46" s="29" t="str">
        <f ca="1">IFERROR(__xludf.DUMMYFUNCTION("""COMPUTED_VALUE"""),"Araguaina")</f>
        <v>Araguaina</v>
      </c>
      <c r="B46" s="29" t="str">
        <f ca="1">IFERROR(__xludf.DUMMYFUNCTION("""COMPUTED_VALUE"""),"Babaculandia")</f>
        <v>Babaculandia</v>
      </c>
      <c r="C46" s="29" t="str">
        <f ca="1">IFERROR(__xludf.DUMMYFUNCTION("""COMPUTED_VALUE"""),"A.A. ESCOLA ESTADUAL RUI BARBOSA")</f>
        <v>A.A. ESCOLA ESTADUAL RUI BARBOSA</v>
      </c>
      <c r="D46" s="30" t="str">
        <f ca="1">IFERROR(__xludf.DUMMYFUNCTION("""COMPUTED_VALUE"""),"01181184000104")</f>
        <v>01181184000104</v>
      </c>
      <c r="E46" s="31">
        <v>0</v>
      </c>
      <c r="F46" s="31">
        <v>0</v>
      </c>
      <c r="G46" s="31">
        <v>134.4</v>
      </c>
      <c r="H46" s="31">
        <v>1495.2</v>
      </c>
      <c r="I46" s="31">
        <v>0</v>
      </c>
      <c r="J46" s="31">
        <v>0</v>
      </c>
      <c r="K46" s="31">
        <v>630</v>
      </c>
      <c r="L46" s="31">
        <v>33.6</v>
      </c>
      <c r="M46" s="32" t="str">
        <f ca="1">IFERROR(__xludf.DUMMYFUNCTION("""COMPUTED_VALUE"""),"001")</f>
        <v>001</v>
      </c>
      <c r="N46" s="32" t="str">
        <f ca="1">IFERROR(__xludf.DUMMYFUNCTION("""COMPUTED_VALUE"""),"0638")</f>
        <v>0638</v>
      </c>
      <c r="O46" s="32" t="str">
        <f ca="1">IFERROR(__xludf.DUMMYFUNCTION("""COMPUTED_VALUE"""),"477117")</f>
        <v>477117</v>
      </c>
      <c r="P46" s="33">
        <v>2293.2000000000003</v>
      </c>
    </row>
    <row r="47" spans="1:16" s="8" customFormat="1" ht="21.95" customHeight="1">
      <c r="A47" s="22" t="str">
        <f ca="1">IFERROR(__xludf.DUMMYFUNCTION("""COMPUTED_VALUE"""),"Araguaina")</f>
        <v>Araguaina</v>
      </c>
      <c r="B47" s="22" t="str">
        <f ca="1">IFERROR(__xludf.DUMMYFUNCTION("""COMPUTED_VALUE"""),"Barra do Ouro")</f>
        <v>Barra do Ouro</v>
      </c>
      <c r="C47" s="22" t="str">
        <f ca="1">IFERROR(__xludf.DUMMYFUNCTION("""COMPUTED_VALUE"""),"A.A. A ESCOLA ESTADUAL BREJAO")</f>
        <v>A.A. A ESCOLA ESTADUAL BREJAO</v>
      </c>
      <c r="D47" s="23" t="str">
        <f ca="1">IFERROR(__xludf.DUMMYFUNCTION("""COMPUTED_VALUE"""),"02392799000134")</f>
        <v>02392799000134</v>
      </c>
      <c r="E47" s="27">
        <v>0</v>
      </c>
      <c r="F47" s="27">
        <v>0</v>
      </c>
      <c r="G47" s="27">
        <v>0</v>
      </c>
      <c r="H47" s="27">
        <v>1083.5999999999999</v>
      </c>
      <c r="I47" s="27">
        <v>0</v>
      </c>
      <c r="J47" s="27">
        <v>0</v>
      </c>
      <c r="K47" s="27">
        <v>789.6</v>
      </c>
      <c r="L47" s="27">
        <v>0</v>
      </c>
      <c r="M47" s="28" t="str">
        <f ca="1">IFERROR(__xludf.DUMMYFUNCTION("""COMPUTED_VALUE"""),"001")</f>
        <v>001</v>
      </c>
      <c r="N47" s="28" t="str">
        <f ca="1">IFERROR(__xludf.DUMMYFUNCTION("""COMPUTED_VALUE"""),"0638")</f>
        <v>0638</v>
      </c>
      <c r="O47" s="28" t="str">
        <f ca="1">IFERROR(__xludf.DUMMYFUNCTION("""COMPUTED_VALUE"""),"83615")</f>
        <v>83615</v>
      </c>
      <c r="P47" s="34">
        <v>1873.1999999999998</v>
      </c>
    </row>
    <row r="48" spans="1:16" s="8" customFormat="1" ht="21.95" customHeight="1">
      <c r="A48" s="29" t="str">
        <f ca="1">IFERROR(__xludf.DUMMYFUNCTION("""COMPUTED_VALUE"""),"Araguaina")</f>
        <v>Araguaina</v>
      </c>
      <c r="B48" s="29" t="str">
        <f ca="1">IFERROR(__xludf.DUMMYFUNCTION("""COMPUTED_VALUE"""),"Barra do Ouro")</f>
        <v>Barra do Ouro</v>
      </c>
      <c r="C48" s="29" t="str">
        <f ca="1">IFERROR(__xludf.DUMMYFUNCTION("""COMPUTED_VALUE"""),"A.COM. ESC. EST. BARRA DO OURO/PROF. VICENTE JOSÉ VIEIRA")</f>
        <v>A.COM. ESC. EST. BARRA DO OURO/PROF. VICENTE JOSÉ VIEIRA</v>
      </c>
      <c r="D48" s="30" t="str">
        <f ca="1">IFERROR(__xludf.DUMMYFUNCTION("""COMPUTED_VALUE"""),"01341481000161")</f>
        <v>01341481000161</v>
      </c>
      <c r="E48" s="31">
        <v>0</v>
      </c>
      <c r="F48" s="31">
        <v>0</v>
      </c>
      <c r="G48" s="31">
        <v>0</v>
      </c>
      <c r="H48" s="31">
        <v>2461.1999999999998</v>
      </c>
      <c r="I48" s="31">
        <v>0</v>
      </c>
      <c r="J48" s="31">
        <v>0</v>
      </c>
      <c r="K48" s="31">
        <v>1226.4000000000001</v>
      </c>
      <c r="L48" s="31">
        <v>0</v>
      </c>
      <c r="M48" s="32" t="str">
        <f ca="1">IFERROR(__xludf.DUMMYFUNCTION("""COMPUTED_VALUE"""),"001")</f>
        <v>001</v>
      </c>
      <c r="N48" s="32" t="str">
        <f ca="1">IFERROR(__xludf.DUMMYFUNCTION("""COMPUTED_VALUE"""),"0638")</f>
        <v>0638</v>
      </c>
      <c r="O48" s="32" t="str">
        <f ca="1">IFERROR(__xludf.DUMMYFUNCTION("""COMPUTED_VALUE"""),"0069973")</f>
        <v>0069973</v>
      </c>
      <c r="P48" s="33">
        <v>3687.6</v>
      </c>
    </row>
    <row r="49" spans="1:16" s="8" customFormat="1" ht="21.95" customHeight="1">
      <c r="A49" s="22" t="str">
        <f ca="1">IFERROR(__xludf.DUMMYFUNCTION("""COMPUTED_VALUE"""),"Araguaina")</f>
        <v>Araguaina</v>
      </c>
      <c r="B49" s="22" t="str">
        <f ca="1">IFERROR(__xludf.DUMMYFUNCTION("""COMPUTED_VALUE"""),"Campos Lindos")</f>
        <v>Campos Lindos</v>
      </c>
      <c r="C49" s="22" t="str">
        <f ca="1">IFERROR(__xludf.DUMMYFUNCTION("""COMPUTED_VALUE"""),"A.A. DA ESC. EST. MANOEL ALVES GRANDE")</f>
        <v>A.A. DA ESC. EST. MANOEL ALVES GRANDE</v>
      </c>
      <c r="D49" s="23" t="str">
        <f ca="1">IFERROR(__xludf.DUMMYFUNCTION("""COMPUTED_VALUE"""),"02199744000102")</f>
        <v>02199744000102</v>
      </c>
      <c r="E49" s="27">
        <v>0</v>
      </c>
      <c r="F49" s="27">
        <v>0</v>
      </c>
      <c r="G49" s="27">
        <v>0</v>
      </c>
      <c r="H49" s="27">
        <v>2528.4</v>
      </c>
      <c r="I49" s="27">
        <v>0</v>
      </c>
      <c r="J49" s="27">
        <v>0</v>
      </c>
      <c r="K49" s="27">
        <v>2982</v>
      </c>
      <c r="L49" s="27">
        <v>403.2</v>
      </c>
      <c r="M49" s="28" t="str">
        <f ca="1">IFERROR(__xludf.DUMMYFUNCTION("""COMPUTED_VALUE"""),"001")</f>
        <v>001</v>
      </c>
      <c r="N49" s="28" t="str">
        <f ca="1">IFERROR(__xludf.DUMMYFUNCTION("""COMPUTED_VALUE"""),"2064")</f>
        <v>2064</v>
      </c>
      <c r="O49" s="28" t="str">
        <f ca="1">IFERROR(__xludf.DUMMYFUNCTION("""COMPUTED_VALUE"""),"0130117")</f>
        <v>0130117</v>
      </c>
      <c r="P49" s="34">
        <v>5913.5999999999995</v>
      </c>
    </row>
    <row r="50" spans="1:16" s="8" customFormat="1" ht="21.95" customHeight="1">
      <c r="A50" s="29" t="str">
        <f ca="1">IFERROR(__xludf.DUMMYFUNCTION("""COMPUTED_VALUE"""),"Araguaina")</f>
        <v>Araguaina</v>
      </c>
      <c r="B50" s="29" t="str">
        <f ca="1">IFERROR(__xludf.DUMMYFUNCTION("""COMPUTED_VALUE"""),"Carmolandia")</f>
        <v>Carmolandia</v>
      </c>
      <c r="C50" s="29" t="str">
        <f ca="1">IFERROR(__xludf.DUMMYFUNCTION("""COMPUTED_VALUE"""),"A.A. E. EST. BARTOLOMEU BUENO DA SILVA")</f>
        <v>A.A. E. EST. BARTOLOMEU BUENO DA SILVA</v>
      </c>
      <c r="D50" s="30" t="str">
        <f ca="1">IFERROR(__xludf.DUMMYFUNCTION("""COMPUTED_VALUE"""),"01181172000171")</f>
        <v>01181172000171</v>
      </c>
      <c r="E50" s="31">
        <v>0</v>
      </c>
      <c r="F50" s="31">
        <v>0</v>
      </c>
      <c r="G50" s="31">
        <v>0</v>
      </c>
      <c r="H50" s="31">
        <v>672</v>
      </c>
      <c r="I50" s="31">
        <v>0</v>
      </c>
      <c r="J50" s="31">
        <v>0</v>
      </c>
      <c r="K50" s="31">
        <v>730.8</v>
      </c>
      <c r="L50" s="31">
        <v>126</v>
      </c>
      <c r="M50" s="32" t="str">
        <f ca="1">IFERROR(__xludf.DUMMYFUNCTION("""COMPUTED_VALUE"""),"001")</f>
        <v>001</v>
      </c>
      <c r="N50" s="32" t="str">
        <f ca="1">IFERROR(__xludf.DUMMYFUNCTION("""COMPUTED_VALUE"""),"0638")</f>
        <v>0638</v>
      </c>
      <c r="O50" s="32" t="str">
        <f ca="1">IFERROR(__xludf.DUMMYFUNCTION("""COMPUTED_VALUE"""),"0465038")</f>
        <v>0465038</v>
      </c>
      <c r="P50" s="33">
        <v>1528.8</v>
      </c>
    </row>
    <row r="51" spans="1:16" s="8" customFormat="1" ht="21.95" customHeight="1">
      <c r="A51" s="22" t="str">
        <f ca="1">IFERROR(__xludf.DUMMYFUNCTION("""COMPUTED_VALUE"""),"Araguaina")</f>
        <v>Araguaina</v>
      </c>
      <c r="B51" s="22" t="str">
        <f ca="1">IFERROR(__xludf.DUMMYFUNCTION("""COMPUTED_VALUE"""),"Filadelfia")</f>
        <v>Filadelfia</v>
      </c>
      <c r="C51" s="22" t="str">
        <f ca="1">IFERROR(__xludf.DUMMYFUNCTION("""COMPUTED_VALUE"""),"A.A. DO COL.MUNICIPAL DE FILADELFIA")</f>
        <v>A.A. DO COL.MUNICIPAL DE FILADELFIA</v>
      </c>
      <c r="D51" s="23" t="str">
        <f ca="1">IFERROR(__xludf.DUMMYFUNCTION("""COMPUTED_VALUE"""),"02189621000190")</f>
        <v>02189621000190</v>
      </c>
      <c r="E51" s="27">
        <v>0</v>
      </c>
      <c r="F51" s="27">
        <v>0</v>
      </c>
      <c r="G51" s="27">
        <v>0</v>
      </c>
      <c r="H51" s="27">
        <v>218.4</v>
      </c>
      <c r="I51" s="27">
        <v>0</v>
      </c>
      <c r="J51" s="27">
        <v>0</v>
      </c>
      <c r="K51" s="27">
        <v>1419.6</v>
      </c>
      <c r="L51" s="27">
        <v>352.8</v>
      </c>
      <c r="M51" s="28" t="str">
        <f ca="1">IFERROR(__xludf.DUMMYFUNCTION("""COMPUTED_VALUE"""),"001")</f>
        <v>001</v>
      </c>
      <c r="N51" s="28" t="str">
        <f ca="1">IFERROR(__xludf.DUMMYFUNCTION("""COMPUTED_VALUE"""),"2064")</f>
        <v>2064</v>
      </c>
      <c r="O51" s="28" t="str">
        <f ca="1">IFERROR(__xludf.DUMMYFUNCTION("""COMPUTED_VALUE"""),"54127")</f>
        <v>54127</v>
      </c>
      <c r="P51" s="34">
        <v>1990.8</v>
      </c>
    </row>
    <row r="52" spans="1:16" s="8" customFormat="1" ht="21.95" customHeight="1">
      <c r="A52" s="29" t="str">
        <f ca="1">IFERROR(__xludf.DUMMYFUNCTION("""COMPUTED_VALUE"""),"Araguaina")</f>
        <v>Araguaina</v>
      </c>
      <c r="B52" s="29" t="str">
        <f ca="1">IFERROR(__xludf.DUMMYFUNCTION("""COMPUTED_VALUE"""),"Filadelfia")</f>
        <v>Filadelfia</v>
      </c>
      <c r="C52" s="29" t="str">
        <f ca="1">IFERROR(__xludf.DUMMYFUNCTION("""COMPUTED_VALUE"""),"A.P. E M. ESC. EST. ADEUVALDO O.MORAES")</f>
        <v>A.P. E M. ESC. EST. ADEUVALDO O.MORAES</v>
      </c>
      <c r="D52" s="30" t="str">
        <f ca="1">IFERROR(__xludf.DUMMYFUNCTION("""COMPUTED_VALUE"""),"01912087000136")</f>
        <v>01912087000136</v>
      </c>
      <c r="E52" s="31">
        <v>0</v>
      </c>
      <c r="F52" s="31">
        <v>0</v>
      </c>
      <c r="G52" s="31">
        <v>235.2</v>
      </c>
      <c r="H52" s="31">
        <v>2830.8</v>
      </c>
      <c r="I52" s="31">
        <v>0</v>
      </c>
      <c r="J52" s="31">
        <v>0</v>
      </c>
      <c r="K52" s="31">
        <v>0</v>
      </c>
      <c r="L52" s="31">
        <v>0</v>
      </c>
      <c r="M52" s="32" t="str">
        <f ca="1">IFERROR(__xludf.DUMMYFUNCTION("""COMPUTED_VALUE"""),"001")</f>
        <v>001</v>
      </c>
      <c r="N52" s="32" t="str">
        <f ca="1">IFERROR(__xludf.DUMMYFUNCTION("""COMPUTED_VALUE"""),"2064")</f>
        <v>2064</v>
      </c>
      <c r="O52" s="32" t="str">
        <f ca="1">IFERROR(__xludf.DUMMYFUNCTION("""COMPUTED_VALUE"""),"127434")</f>
        <v>127434</v>
      </c>
      <c r="P52" s="33">
        <v>3066</v>
      </c>
    </row>
    <row r="53" spans="1:16" s="8" customFormat="1" ht="21.95" customHeight="1">
      <c r="A53" s="22" t="str">
        <f ca="1">IFERROR(__xludf.DUMMYFUNCTION("""COMPUTED_VALUE"""),"Araguaina")</f>
        <v>Araguaina</v>
      </c>
      <c r="B53" s="22" t="str">
        <f ca="1">IFERROR(__xludf.DUMMYFUNCTION("""COMPUTED_VALUE"""),"Filadelfia")</f>
        <v>Filadelfia</v>
      </c>
      <c r="C53" s="22" t="str">
        <f ca="1">IFERROR(__xludf.DUMMYFUNCTION("""COMPUTED_VALUE"""),"A.A. ESC EST PROFESSOR JOSÉ FRANCISCO DOS MONTES")</f>
        <v>A.A. ESC EST PROFESSOR JOSÉ FRANCISCO DOS MONTES</v>
      </c>
      <c r="D53" s="23" t="str">
        <f ca="1">IFERROR(__xludf.DUMMYFUNCTION("""COMPUTED_VALUE"""),"27853677000129")</f>
        <v>27853677000129</v>
      </c>
      <c r="E53" s="27">
        <v>0</v>
      </c>
      <c r="F53" s="27">
        <v>0</v>
      </c>
      <c r="G53" s="27">
        <v>0</v>
      </c>
      <c r="H53" s="27">
        <v>604.79999999999995</v>
      </c>
      <c r="I53" s="27">
        <v>0</v>
      </c>
      <c r="J53" s="27">
        <v>0</v>
      </c>
      <c r="K53" s="27">
        <v>789.6</v>
      </c>
      <c r="L53" s="27">
        <v>92.4</v>
      </c>
      <c r="M53" s="28" t="str">
        <f ca="1">IFERROR(__xludf.DUMMYFUNCTION("""COMPUTED_VALUE"""),"001")</f>
        <v>001</v>
      </c>
      <c r="N53" s="28" t="str">
        <f ca="1">IFERROR(__xludf.DUMMYFUNCTION("""COMPUTED_VALUE"""),"2064")</f>
        <v>2064</v>
      </c>
      <c r="O53" s="28" t="str">
        <f ca="1">IFERROR(__xludf.DUMMYFUNCTION("""COMPUTED_VALUE"""),"198315")</f>
        <v>198315</v>
      </c>
      <c r="P53" s="34">
        <v>1486.8000000000002</v>
      </c>
    </row>
    <row r="54" spans="1:16" s="8" customFormat="1" ht="21.95" customHeight="1">
      <c r="A54" s="29" t="str">
        <f ca="1">IFERROR(__xludf.DUMMYFUNCTION("""COMPUTED_VALUE"""),"Araguaina")</f>
        <v>Araguaina</v>
      </c>
      <c r="B54" s="29" t="str">
        <f ca="1">IFERROR(__xludf.DUMMYFUNCTION("""COMPUTED_VALUE"""),"Goiatins")</f>
        <v>Goiatins</v>
      </c>
      <c r="C54" s="29" t="str">
        <f ca="1">IFERROR(__xludf.DUMMYFUNCTION("""COMPUTED_VALUE"""),"ASS. COM.COL. EST. ADA ASSIS TEIXEIRA")</f>
        <v>ASS. COM.COL. EST. ADA ASSIS TEIXEIRA</v>
      </c>
      <c r="D54" s="30" t="str">
        <f ca="1">IFERROR(__xludf.DUMMYFUNCTION("""COMPUTED_VALUE"""),"01440731000110")</f>
        <v>01440731000110</v>
      </c>
      <c r="E54" s="31">
        <v>0</v>
      </c>
      <c r="F54" s="31">
        <v>0</v>
      </c>
      <c r="G54" s="31">
        <v>0</v>
      </c>
      <c r="H54" s="31">
        <v>1747.2</v>
      </c>
      <c r="I54" s="31">
        <v>0</v>
      </c>
      <c r="J54" s="31">
        <v>0</v>
      </c>
      <c r="K54" s="31">
        <v>3763.2</v>
      </c>
      <c r="L54" s="31">
        <v>243.6</v>
      </c>
      <c r="M54" s="32" t="str">
        <f ca="1">IFERROR(__xludf.DUMMYFUNCTION("""COMPUTED_VALUE"""),"001")</f>
        <v>001</v>
      </c>
      <c r="N54" s="32" t="str">
        <f ca="1">IFERROR(__xludf.DUMMYFUNCTION("""COMPUTED_VALUE"""),"2064")</f>
        <v>2064</v>
      </c>
      <c r="O54" s="32" t="str">
        <f ca="1">IFERROR(__xludf.DUMMYFUNCTION("""COMPUTED_VALUE"""),"0013323")</f>
        <v>0013323</v>
      </c>
      <c r="P54" s="33">
        <v>5754</v>
      </c>
    </row>
    <row r="55" spans="1:16" s="8" customFormat="1" ht="21.95" customHeight="1">
      <c r="A55" s="22" t="str">
        <f ca="1">IFERROR(__xludf.DUMMYFUNCTION("""COMPUTED_VALUE"""),"Araguaina")</f>
        <v>Araguaina</v>
      </c>
      <c r="B55" s="22" t="str">
        <f ca="1">IFERROR(__xludf.DUMMYFUNCTION("""COMPUTED_VALUE"""),"Goiatins")</f>
        <v>Goiatins</v>
      </c>
      <c r="C55" s="22" t="str">
        <f ca="1">IFERROR(__xludf.DUMMYFUNCTION("""COMPUTED_VALUE"""),"A. COM. DO INST.EDUC.TURMINHA FELIZ")</f>
        <v>A. COM. DO INST.EDUC.TURMINHA FELIZ</v>
      </c>
      <c r="D55" s="23" t="str">
        <f ca="1">IFERROR(__xludf.DUMMYFUNCTION("""COMPUTED_VALUE"""),"02165295000181")</f>
        <v>02165295000181</v>
      </c>
      <c r="E55" s="27">
        <v>0</v>
      </c>
      <c r="F55" s="27">
        <v>0</v>
      </c>
      <c r="G55" s="27">
        <v>126</v>
      </c>
      <c r="H55" s="27">
        <v>1890</v>
      </c>
      <c r="I55" s="27">
        <v>0</v>
      </c>
      <c r="J55" s="27">
        <v>0</v>
      </c>
      <c r="K55" s="27">
        <v>0</v>
      </c>
      <c r="L55" s="27">
        <v>0</v>
      </c>
      <c r="M55" s="28" t="str">
        <f ca="1">IFERROR(__xludf.DUMMYFUNCTION("""COMPUTED_VALUE"""),"001")</f>
        <v>001</v>
      </c>
      <c r="N55" s="28" t="str">
        <f ca="1">IFERROR(__xludf.DUMMYFUNCTION("""COMPUTED_VALUE"""),"2064")</f>
        <v>2064</v>
      </c>
      <c r="O55" s="28" t="str">
        <f ca="1">IFERROR(__xludf.DUMMYFUNCTION("""COMPUTED_VALUE"""),"13242")</f>
        <v>13242</v>
      </c>
      <c r="P55" s="34">
        <v>2016</v>
      </c>
    </row>
    <row r="56" spans="1:16" s="8" customFormat="1" ht="21.95" customHeight="1">
      <c r="A56" s="29" t="str">
        <f ca="1">IFERROR(__xludf.DUMMYFUNCTION("""COMPUTED_VALUE"""),"Araguaina")</f>
        <v>Araguaina</v>
      </c>
      <c r="B56" s="29" t="str">
        <f ca="1">IFERROR(__xludf.DUMMYFUNCTION("""COMPUTED_VALUE"""),"Muricilandia")</f>
        <v>Muricilandia</v>
      </c>
      <c r="C56" s="29" t="str">
        <f ca="1">IFERROR(__xludf.DUMMYFUNCTION("""COMPUTED_VALUE"""),"A.A. DA ESC. EST. MAL. COSTA E SILVA")</f>
        <v>A.A. DA ESC. EST. MAL. COSTA E SILVA</v>
      </c>
      <c r="D56" s="30" t="str">
        <f ca="1">IFERROR(__xludf.DUMMYFUNCTION("""COMPUTED_VALUE"""),"02032269000185")</f>
        <v>02032269000185</v>
      </c>
      <c r="E56" s="31">
        <v>0</v>
      </c>
      <c r="F56" s="31">
        <v>0</v>
      </c>
      <c r="G56" s="31">
        <v>0</v>
      </c>
      <c r="H56" s="31">
        <v>1579.2</v>
      </c>
      <c r="I56" s="31">
        <v>0</v>
      </c>
      <c r="J56" s="31">
        <v>0</v>
      </c>
      <c r="K56" s="31">
        <v>1293.5999999999999</v>
      </c>
      <c r="L56" s="31">
        <v>252</v>
      </c>
      <c r="M56" s="32" t="str">
        <f ca="1">IFERROR(__xludf.DUMMYFUNCTION("""COMPUTED_VALUE"""),"001")</f>
        <v>001</v>
      </c>
      <c r="N56" s="32" t="str">
        <f ca="1">IFERROR(__xludf.DUMMYFUNCTION("""COMPUTED_VALUE"""),"0638")</f>
        <v>0638</v>
      </c>
      <c r="O56" s="32" t="str">
        <f ca="1">IFERROR(__xludf.DUMMYFUNCTION("""COMPUTED_VALUE"""),"83550")</f>
        <v>83550</v>
      </c>
      <c r="P56" s="33">
        <v>3124.8</v>
      </c>
    </row>
    <row r="57" spans="1:16" s="8" customFormat="1" ht="21.95" customHeight="1">
      <c r="A57" s="22" t="str">
        <f ca="1">IFERROR(__xludf.DUMMYFUNCTION("""COMPUTED_VALUE"""),"Araguaina")</f>
        <v>Araguaina</v>
      </c>
      <c r="B57" s="22" t="str">
        <f ca="1">IFERROR(__xludf.DUMMYFUNCTION("""COMPUTED_VALUE"""),"Muricilandia")</f>
        <v>Muricilandia</v>
      </c>
      <c r="C57" s="22" t="str">
        <f ca="1">IFERROR(__xludf.DUMMYFUNCTION("""COMPUTED_VALUE"""),"A.COM. DE AP. COL. EST. DE MURICILANDIA")</f>
        <v>A.COM. DE AP. COL. EST. DE MURICILANDIA</v>
      </c>
      <c r="D57" s="23" t="str">
        <f ca="1">IFERROR(__xludf.DUMMYFUNCTION("""COMPUTED_VALUE"""),"01911084000188")</f>
        <v>01911084000188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1125.5999999999999</v>
      </c>
      <c r="K57" s="27">
        <v>0</v>
      </c>
      <c r="L57" s="27">
        <v>0</v>
      </c>
      <c r="M57" s="28" t="str">
        <f ca="1">IFERROR(__xludf.DUMMYFUNCTION("""COMPUTED_VALUE"""),"001")</f>
        <v>001</v>
      </c>
      <c r="N57" s="28" t="str">
        <f ca="1">IFERROR(__xludf.DUMMYFUNCTION("""COMPUTED_VALUE"""),"0638")</f>
        <v>0638</v>
      </c>
      <c r="O57" s="28" t="str">
        <f ca="1">IFERROR(__xludf.DUMMYFUNCTION("""COMPUTED_VALUE"""),"8350X")</f>
        <v>8350X</v>
      </c>
      <c r="P57" s="34">
        <v>1125.5999999999999</v>
      </c>
    </row>
    <row r="58" spans="1:16" s="8" customFormat="1" ht="21.95" customHeight="1">
      <c r="A58" s="29" t="str">
        <f ca="1">IFERROR(__xludf.DUMMYFUNCTION("""COMPUTED_VALUE"""),"Araguaina")</f>
        <v>Araguaina</v>
      </c>
      <c r="B58" s="29" t="str">
        <f ca="1">IFERROR(__xludf.DUMMYFUNCTION("""COMPUTED_VALUE"""),"Nova Olinda")</f>
        <v>Nova Olinda</v>
      </c>
      <c r="C58" s="29" t="str">
        <f ca="1">IFERROR(__xludf.DUMMYFUNCTION("""COMPUTED_VALUE"""),"A.A. ESC. COL. E. HELIO DE SOUZA BUENO")</f>
        <v>A.A. ESC. COL. E. HELIO DE SOUZA BUENO</v>
      </c>
      <c r="D58" s="30" t="str">
        <f ca="1">IFERROR(__xludf.DUMMYFUNCTION("""COMPUTED_VALUE"""),"01186466000196")</f>
        <v>01186466000196</v>
      </c>
      <c r="E58" s="31">
        <v>0</v>
      </c>
      <c r="F58" s="31">
        <v>0</v>
      </c>
      <c r="G58" s="31">
        <v>0</v>
      </c>
      <c r="H58" s="31">
        <v>2528.4</v>
      </c>
      <c r="I58" s="31">
        <v>0</v>
      </c>
      <c r="J58" s="31">
        <v>0</v>
      </c>
      <c r="K58" s="31">
        <v>2948.4</v>
      </c>
      <c r="L58" s="31">
        <v>672</v>
      </c>
      <c r="M58" s="32" t="str">
        <f ca="1">IFERROR(__xludf.DUMMYFUNCTION("""COMPUTED_VALUE"""),"001")</f>
        <v>001</v>
      </c>
      <c r="N58" s="32" t="str">
        <f ca="1">IFERROR(__xludf.DUMMYFUNCTION("""COMPUTED_VALUE"""),"0638")</f>
        <v>0638</v>
      </c>
      <c r="O58" s="32" t="str">
        <f ca="1">IFERROR(__xludf.DUMMYFUNCTION("""COMPUTED_VALUE"""),"0462985")</f>
        <v>0462985</v>
      </c>
      <c r="P58" s="33">
        <v>6148.8</v>
      </c>
    </row>
    <row r="59" spans="1:16" s="8" customFormat="1" ht="21.95" customHeight="1">
      <c r="A59" s="22" t="str">
        <f ca="1">IFERROR(__xludf.DUMMYFUNCTION("""COMPUTED_VALUE"""),"Araguaina")</f>
        <v>Araguaina</v>
      </c>
      <c r="B59" s="22" t="str">
        <f ca="1">IFERROR(__xludf.DUMMYFUNCTION("""COMPUTED_VALUE"""),"Nova Olinda")</f>
        <v>Nova Olinda</v>
      </c>
      <c r="C59" s="22" t="str">
        <f ca="1">IFERROR(__xludf.DUMMYFUNCTION("""COMPUTED_VALUE"""),"ASSOCIAÇÃO DE APOIO A ESCOLA ESPECIAL RENASCER")</f>
        <v>ASSOCIAÇÃO DE APOIO A ESCOLA ESPECIAL RENASCER</v>
      </c>
      <c r="D59" s="23" t="str">
        <f ca="1">IFERROR(__xludf.DUMMYFUNCTION("""COMPUTED_VALUE"""),"07951646000101")</f>
        <v>07951646000101</v>
      </c>
      <c r="E59" s="27">
        <v>52</v>
      </c>
      <c r="F59" s="27">
        <v>16.8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428.4</v>
      </c>
      <c r="M59" s="28" t="str">
        <f ca="1">IFERROR(__xludf.DUMMYFUNCTION("""COMPUTED_VALUE"""),"001")</f>
        <v>001</v>
      </c>
      <c r="N59" s="28" t="str">
        <f ca="1">IFERROR(__xludf.DUMMYFUNCTION("""COMPUTED_VALUE"""),"0638")</f>
        <v>0638</v>
      </c>
      <c r="O59" s="28" t="str">
        <f ca="1">IFERROR(__xludf.DUMMYFUNCTION("""COMPUTED_VALUE"""),"541028")</f>
        <v>541028</v>
      </c>
      <c r="P59" s="34">
        <v>497.2</v>
      </c>
    </row>
    <row r="60" spans="1:16" s="8" customFormat="1" ht="21.95" customHeight="1">
      <c r="A60" s="29" t="str">
        <f ca="1">IFERROR(__xludf.DUMMYFUNCTION("""COMPUTED_VALUE"""),"Araguaina")</f>
        <v>Araguaina</v>
      </c>
      <c r="B60" s="29" t="str">
        <f ca="1">IFERROR(__xludf.DUMMYFUNCTION("""COMPUTED_VALUE"""),"Nova Olinda")</f>
        <v>Nova Olinda</v>
      </c>
      <c r="C60" s="29" t="str">
        <f ca="1">IFERROR(__xludf.DUMMYFUNCTION("""COMPUTED_VALUE"""),"A.A. E. E. PROFA. HAMEDY CURY QUEIROZ")</f>
        <v>A.A. E. E. PROFA. HAMEDY CURY QUEIROZ</v>
      </c>
      <c r="D60" s="30" t="str">
        <f ca="1">IFERROR(__xludf.DUMMYFUNCTION("""COMPUTED_VALUE"""),"01431375000179")</f>
        <v>01431375000179</v>
      </c>
      <c r="E60" s="31">
        <v>0</v>
      </c>
      <c r="F60" s="31">
        <v>0</v>
      </c>
      <c r="G60" s="31">
        <v>0</v>
      </c>
      <c r="H60" s="31">
        <v>3486</v>
      </c>
      <c r="I60" s="31">
        <v>0</v>
      </c>
      <c r="J60" s="31">
        <v>0</v>
      </c>
      <c r="K60" s="31">
        <v>0</v>
      </c>
      <c r="L60" s="31">
        <v>0</v>
      </c>
      <c r="M60" s="32" t="str">
        <f ca="1">IFERROR(__xludf.DUMMYFUNCTION("""COMPUTED_VALUE"""),"001")</f>
        <v>001</v>
      </c>
      <c r="N60" s="32" t="str">
        <f ca="1">IFERROR(__xludf.DUMMYFUNCTION("""COMPUTED_VALUE"""),"0638")</f>
        <v>0638</v>
      </c>
      <c r="O60" s="32" t="str">
        <f ca="1">IFERROR(__xludf.DUMMYFUNCTION("""COMPUTED_VALUE"""),"0468010")</f>
        <v>0468010</v>
      </c>
      <c r="P60" s="33">
        <v>3486</v>
      </c>
    </row>
    <row r="61" spans="1:16" s="8" customFormat="1" ht="21.95" customHeight="1">
      <c r="A61" s="22" t="str">
        <f ca="1">IFERROR(__xludf.DUMMYFUNCTION("""COMPUTED_VALUE"""),"Araguaina")</f>
        <v>Araguaina</v>
      </c>
      <c r="B61" s="22" t="str">
        <f ca="1">IFERROR(__xludf.DUMMYFUNCTION("""COMPUTED_VALUE"""),"Piraque")</f>
        <v>Piraque</v>
      </c>
      <c r="C61" s="22" t="str">
        <f ca="1">IFERROR(__xludf.DUMMYFUNCTION("""COMPUTED_VALUE"""),"A.A.  ESCOLA ESTADUAL SAO JOSE")</f>
        <v>A.A.  ESCOLA ESTADUAL SAO JOSE</v>
      </c>
      <c r="D61" s="23" t="str">
        <f ca="1">IFERROR(__xludf.DUMMYFUNCTION("""COMPUTED_VALUE"""),"01243654000109")</f>
        <v>01243654000109</v>
      </c>
      <c r="E61" s="27">
        <v>0</v>
      </c>
      <c r="F61" s="27">
        <v>0</v>
      </c>
      <c r="G61" s="27">
        <v>0</v>
      </c>
      <c r="H61" s="27">
        <v>1461.6</v>
      </c>
      <c r="I61" s="27">
        <v>0</v>
      </c>
      <c r="J61" s="27">
        <v>0</v>
      </c>
      <c r="K61" s="27">
        <v>798</v>
      </c>
      <c r="L61" s="27">
        <v>0</v>
      </c>
      <c r="M61" s="28" t="str">
        <f ca="1">IFERROR(__xludf.DUMMYFUNCTION("""COMPUTED_VALUE"""),"001")</f>
        <v>001</v>
      </c>
      <c r="N61" s="28" t="str">
        <f ca="1">IFERROR(__xludf.DUMMYFUNCTION("""COMPUTED_VALUE"""),"0638")</f>
        <v>0638</v>
      </c>
      <c r="O61" s="28" t="str">
        <f ca="1">IFERROR(__xludf.DUMMYFUNCTION("""COMPUTED_VALUE"""),"465283")</f>
        <v>465283</v>
      </c>
      <c r="P61" s="34">
        <v>2259.6</v>
      </c>
    </row>
    <row r="62" spans="1:16" s="8" customFormat="1" ht="21.95" customHeight="1">
      <c r="A62" s="29" t="str">
        <f ca="1">IFERROR(__xludf.DUMMYFUNCTION("""COMPUTED_VALUE"""),"Araguaina")</f>
        <v>Araguaina</v>
      </c>
      <c r="B62" s="29" t="str">
        <f ca="1">IFERROR(__xludf.DUMMYFUNCTION("""COMPUTED_VALUE"""),"Riachinho")</f>
        <v>Riachinho</v>
      </c>
      <c r="C62" s="29" t="str">
        <f ca="1">IFERROR(__xludf.DUMMYFUNCTION("""COMPUTED_VALUE"""),"ASSOC. DE APOIO ESC. EST. JOAO XXIII")</f>
        <v>ASSOC. DE APOIO ESC. EST. JOAO XXIII</v>
      </c>
      <c r="D62" s="30" t="str">
        <f ca="1">IFERROR(__xludf.DUMMYFUNCTION("""COMPUTED_VALUE"""),"01136006000153")</f>
        <v>01136006000153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1419.6</v>
      </c>
      <c r="L62" s="31">
        <v>0</v>
      </c>
      <c r="M62" s="32" t="str">
        <f ca="1">IFERROR(__xludf.DUMMYFUNCTION("""COMPUTED_VALUE"""),"001")</f>
        <v>001</v>
      </c>
      <c r="N62" s="32" t="str">
        <f ca="1">IFERROR(__xludf.DUMMYFUNCTION("""COMPUTED_VALUE"""),"3973")</f>
        <v>3973</v>
      </c>
      <c r="O62" s="32" t="str">
        <f ca="1">IFERROR(__xludf.DUMMYFUNCTION("""COMPUTED_VALUE"""),"51969")</f>
        <v>51969</v>
      </c>
      <c r="P62" s="33">
        <v>1419.6</v>
      </c>
    </row>
    <row r="63" spans="1:16" s="8" customFormat="1" ht="21.95" customHeight="1">
      <c r="A63" s="22" t="str">
        <f ca="1">IFERROR(__xludf.DUMMYFUNCTION("""COMPUTED_VALUE"""),"Araguaina")</f>
        <v>Araguaina</v>
      </c>
      <c r="B63" s="22" t="str">
        <f ca="1">IFERROR(__xludf.DUMMYFUNCTION("""COMPUTED_VALUE"""),"Santa Fe do Araguaia")</f>
        <v>Santa Fe do Araguaia</v>
      </c>
      <c r="C63" s="22" t="str">
        <f ca="1">IFERROR(__xludf.DUMMYFUNCTION("""COMPUTED_VALUE"""),"A.A. ESC. EST. ANAIDES BRITO MIRANDA")</f>
        <v>A.A. ESC. EST. ANAIDES BRITO MIRANDA</v>
      </c>
      <c r="D63" s="23" t="str">
        <f ca="1">IFERROR(__xludf.DUMMYFUNCTION("""COMPUTED_VALUE"""),"01919025000156")</f>
        <v>01919025000156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1932</v>
      </c>
      <c r="L63" s="27">
        <v>0</v>
      </c>
      <c r="M63" s="28" t="str">
        <f ca="1">IFERROR(__xludf.DUMMYFUNCTION("""COMPUTED_VALUE"""),"001")</f>
        <v>001</v>
      </c>
      <c r="N63" s="28" t="str">
        <f ca="1">IFERROR(__xludf.DUMMYFUNCTION("""COMPUTED_VALUE"""),"4791")</f>
        <v>4791</v>
      </c>
      <c r="O63" s="28" t="str">
        <f ca="1">IFERROR(__xludf.DUMMYFUNCTION("""COMPUTED_VALUE"""),"54682")</f>
        <v>54682</v>
      </c>
      <c r="P63" s="34">
        <v>1932</v>
      </c>
    </row>
    <row r="64" spans="1:16" s="8" customFormat="1" ht="21.95" customHeight="1">
      <c r="A64" s="29" t="str">
        <f ca="1">IFERROR(__xludf.DUMMYFUNCTION("""COMPUTED_VALUE"""),"Araguaina")</f>
        <v>Araguaina</v>
      </c>
      <c r="B64" s="29" t="str">
        <f ca="1">IFERROR(__xludf.DUMMYFUNCTION("""COMPUTED_VALUE"""),"Santa Fe do Araguaia")</f>
        <v>Santa Fe do Araguaia</v>
      </c>
      <c r="C64" s="29" t="str">
        <f ca="1">IFERROR(__xludf.DUMMYFUNCTION("""COMPUTED_VALUE"""),"A. DE AP. DA ESCOLA EST. CASTRO ALVES")</f>
        <v>A. DE AP. DA ESCOLA EST. CASTRO ALVES</v>
      </c>
      <c r="D64" s="30" t="str">
        <f ca="1">IFERROR(__xludf.DUMMYFUNCTION("""COMPUTED_VALUE"""),"01673181000180")</f>
        <v>01673181000180</v>
      </c>
      <c r="E64" s="31">
        <v>0</v>
      </c>
      <c r="F64" s="31">
        <v>0</v>
      </c>
      <c r="G64" s="31">
        <v>0</v>
      </c>
      <c r="H64" s="31">
        <v>3435.6</v>
      </c>
      <c r="I64" s="31">
        <v>0</v>
      </c>
      <c r="J64" s="31">
        <v>0</v>
      </c>
      <c r="K64" s="31">
        <v>386.4</v>
      </c>
      <c r="L64" s="31">
        <v>184.8</v>
      </c>
      <c r="M64" s="32" t="str">
        <f ca="1">IFERROR(__xludf.DUMMYFUNCTION("""COMPUTED_VALUE"""),"001")</f>
        <v>001</v>
      </c>
      <c r="N64" s="32" t="str">
        <f ca="1">IFERROR(__xludf.DUMMYFUNCTION("""COMPUTED_VALUE"""),"4791")</f>
        <v>4791</v>
      </c>
      <c r="O64" s="32" t="str">
        <f ca="1">IFERROR(__xludf.DUMMYFUNCTION("""COMPUTED_VALUE"""),"54739")</f>
        <v>54739</v>
      </c>
      <c r="P64" s="33">
        <v>4006.8</v>
      </c>
    </row>
    <row r="65" spans="1:16" s="8" customFormat="1" ht="21.95" customHeight="1">
      <c r="A65" s="22" t="str">
        <f ca="1">IFERROR(__xludf.DUMMYFUNCTION("""COMPUTED_VALUE"""),"Araguaina")</f>
        <v>Araguaina</v>
      </c>
      <c r="B65" s="22" t="str">
        <f ca="1">IFERROR(__xludf.DUMMYFUNCTION("""COMPUTED_VALUE"""),"Wanderlandia")</f>
        <v>Wanderlandia</v>
      </c>
      <c r="C65" s="22" t="str">
        <f ca="1">IFERROR(__xludf.DUMMYFUNCTION("""COMPUTED_VALUE"""),"A.A. COL. ESTADUAL JOSE LUIZ SIQUEIRA")</f>
        <v>A.A. COL. ESTADUAL JOSE LUIZ SIQUEIRA</v>
      </c>
      <c r="D65" s="23" t="str">
        <f ca="1">IFERROR(__xludf.DUMMYFUNCTION("""COMPUTED_VALUE"""),"01257082000117")</f>
        <v>01257082000117</v>
      </c>
      <c r="E65" s="27">
        <v>0</v>
      </c>
      <c r="F65" s="27">
        <v>0</v>
      </c>
      <c r="G65" s="27">
        <v>159.6</v>
      </c>
      <c r="H65" s="27">
        <v>1352.4</v>
      </c>
      <c r="I65" s="27">
        <v>0</v>
      </c>
      <c r="J65" s="27">
        <v>0</v>
      </c>
      <c r="K65" s="27">
        <v>2545.1999999999998</v>
      </c>
      <c r="L65" s="27">
        <v>184.8</v>
      </c>
      <c r="M65" s="28" t="str">
        <f ca="1">IFERROR(__xludf.DUMMYFUNCTION("""COMPUTED_VALUE"""),"001")</f>
        <v>001</v>
      </c>
      <c r="N65" s="28" t="str">
        <f ca="1">IFERROR(__xludf.DUMMYFUNCTION("""COMPUTED_VALUE"""),"0638")</f>
        <v>0638</v>
      </c>
      <c r="O65" s="28" t="str">
        <f ca="1">IFERROR(__xludf.DUMMYFUNCTION("""COMPUTED_VALUE"""),"0465291")</f>
        <v>0465291</v>
      </c>
      <c r="P65" s="34">
        <v>4242</v>
      </c>
    </row>
    <row r="66" spans="1:16" s="8" customFormat="1" ht="21.95" customHeight="1">
      <c r="A66" s="29" t="str">
        <f ca="1">IFERROR(__xludf.DUMMYFUNCTION("""COMPUTED_VALUE"""),"Araguaina")</f>
        <v>Araguaina</v>
      </c>
      <c r="B66" s="29" t="str">
        <f ca="1">IFERROR(__xludf.DUMMYFUNCTION("""COMPUTED_VALUE"""),"Wanderlandia")</f>
        <v>Wanderlandia</v>
      </c>
      <c r="C66" s="29" t="str">
        <f ca="1">IFERROR(__xludf.DUMMYFUNCTION("""COMPUTED_VALUE"""),"ASSOCIAÇÃO DE APOIO DA ESCOLA ESPECIAL MORADA DO SOL")</f>
        <v>ASSOCIAÇÃO DE APOIO DA ESCOLA ESPECIAL MORADA DO SOL</v>
      </c>
      <c r="D66" s="30" t="str">
        <f ca="1">IFERROR(__xludf.DUMMYFUNCTION("""COMPUTED_VALUE"""),"07941368000101")</f>
        <v>07941368000101</v>
      </c>
      <c r="E66" s="31">
        <v>0</v>
      </c>
      <c r="F66" s="31">
        <v>33.6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680.4</v>
      </c>
      <c r="M66" s="32" t="str">
        <f ca="1">IFERROR(__xludf.DUMMYFUNCTION("""COMPUTED_VALUE"""),"001")</f>
        <v>001</v>
      </c>
      <c r="N66" s="32" t="str">
        <f ca="1">IFERROR(__xludf.DUMMYFUNCTION("""COMPUTED_VALUE"""),"0638")</f>
        <v>0638</v>
      </c>
      <c r="O66" s="32" t="str">
        <f ca="1">IFERROR(__xludf.DUMMYFUNCTION("""COMPUTED_VALUE"""),"537349")</f>
        <v>537349</v>
      </c>
      <c r="P66" s="33">
        <v>714</v>
      </c>
    </row>
    <row r="67" spans="1:16" s="8" customFormat="1" ht="21.95" customHeight="1">
      <c r="A67" s="22" t="str">
        <f ca="1">IFERROR(__xludf.DUMMYFUNCTION("""COMPUTED_VALUE"""),"Araguaina")</f>
        <v>Araguaina</v>
      </c>
      <c r="B67" s="22" t="str">
        <f ca="1">IFERROR(__xludf.DUMMYFUNCTION("""COMPUTED_VALUE"""),"Wanderlandia")</f>
        <v>Wanderlandia</v>
      </c>
      <c r="C67" s="22" t="str">
        <f ca="1">IFERROR(__xludf.DUMMYFUNCTION("""COMPUTED_VALUE"""),"A.APOIO ESCOLA ESTADUAL D. PEDRO II")</f>
        <v>A.APOIO ESCOLA ESTADUAL D. PEDRO II</v>
      </c>
      <c r="D67" s="23" t="str">
        <f ca="1">IFERROR(__xludf.DUMMYFUNCTION("""COMPUTED_VALUE"""),"01186465000141")</f>
        <v>01186465000141</v>
      </c>
      <c r="E67" s="27">
        <v>0</v>
      </c>
      <c r="F67" s="27">
        <v>0</v>
      </c>
      <c r="G67" s="27">
        <v>109.2</v>
      </c>
      <c r="H67" s="27">
        <v>2142</v>
      </c>
      <c r="I67" s="27">
        <v>0</v>
      </c>
      <c r="J67" s="27">
        <v>0</v>
      </c>
      <c r="K67" s="27">
        <v>0</v>
      </c>
      <c r="L67" s="27">
        <v>0</v>
      </c>
      <c r="M67" s="28" t="str">
        <f ca="1">IFERROR(__xludf.DUMMYFUNCTION("""COMPUTED_VALUE"""),"001")</f>
        <v>001</v>
      </c>
      <c r="N67" s="28" t="str">
        <f ca="1">IFERROR(__xludf.DUMMYFUNCTION("""COMPUTED_VALUE"""),"0638")</f>
        <v>0638</v>
      </c>
      <c r="O67" s="28" t="str">
        <f ca="1">IFERROR(__xludf.DUMMYFUNCTION("""COMPUTED_VALUE"""),"0463108")</f>
        <v>0463108</v>
      </c>
      <c r="P67" s="34">
        <v>2251.1999999999998</v>
      </c>
    </row>
    <row r="68" spans="1:16" s="8" customFormat="1" ht="21.95" customHeight="1">
      <c r="A68" s="29" t="str">
        <f ca="1">IFERROR(__xludf.DUMMYFUNCTION("""COMPUTED_VALUE"""),"Araguaina")</f>
        <v>Araguaina</v>
      </c>
      <c r="B68" s="29" t="str">
        <f ca="1">IFERROR(__xludf.DUMMYFUNCTION("""COMPUTED_VALUE"""),"Xambioa")</f>
        <v>Xambioa</v>
      </c>
      <c r="C68" s="29" t="str">
        <f ca="1">IFERROR(__xludf.DUMMYFUNCTION("""COMPUTED_VALUE"""),"A.A. COL. MUL. PROFA. JULIANA BARROS")</f>
        <v>A.A. COL. MUL. PROFA. JULIANA BARROS</v>
      </c>
      <c r="D68" s="30" t="str">
        <f ca="1">IFERROR(__xludf.DUMMYFUNCTION("""COMPUTED_VALUE"""),"01136047000140")</f>
        <v>01136047000140</v>
      </c>
      <c r="E68" s="31">
        <v>0</v>
      </c>
      <c r="F68" s="31">
        <v>0</v>
      </c>
      <c r="G68" s="31">
        <v>0</v>
      </c>
      <c r="H68" s="31">
        <v>1486.8</v>
      </c>
      <c r="I68" s="31">
        <v>0</v>
      </c>
      <c r="J68" s="31">
        <v>0</v>
      </c>
      <c r="K68" s="31">
        <v>75.599999999999994</v>
      </c>
      <c r="L68" s="31">
        <v>621.6</v>
      </c>
      <c r="M68" s="32" t="str">
        <f ca="1">IFERROR(__xludf.DUMMYFUNCTION("""COMPUTED_VALUE"""),"001")</f>
        <v>001</v>
      </c>
      <c r="N68" s="32" t="str">
        <f ca="1">IFERROR(__xludf.DUMMYFUNCTION("""COMPUTED_VALUE"""),"3773")</f>
        <v>3773</v>
      </c>
      <c r="O68" s="32" t="str">
        <f ca="1">IFERROR(__xludf.DUMMYFUNCTION("""COMPUTED_VALUE"""),"0330027")</f>
        <v>0330027</v>
      </c>
      <c r="P68" s="33">
        <v>2184</v>
      </c>
    </row>
    <row r="69" spans="1:16" s="8" customFormat="1" ht="21.95" customHeight="1">
      <c r="A69" s="22" t="str">
        <f ca="1">IFERROR(__xludf.DUMMYFUNCTION("""COMPUTED_VALUE"""),"Araguaina")</f>
        <v>Araguaina</v>
      </c>
      <c r="B69" s="22" t="str">
        <f ca="1">IFERROR(__xludf.DUMMYFUNCTION("""COMPUTED_VALUE"""),"Xambioa")</f>
        <v>Xambioa</v>
      </c>
      <c r="C69" s="22" t="str">
        <f ca="1">IFERROR(__xludf.DUMMYFUNCTION("""COMPUTED_VALUE"""),"A. COM. DA ESC. EST. EURICO MOTA")</f>
        <v>A. COM. DA ESC. EST. EURICO MOTA</v>
      </c>
      <c r="D69" s="23" t="str">
        <f ca="1">IFERROR(__xludf.DUMMYFUNCTION("""COMPUTED_VALUE"""),"01718086000155")</f>
        <v>01718086000155</v>
      </c>
      <c r="E69" s="27">
        <v>0</v>
      </c>
      <c r="F69" s="27">
        <v>0</v>
      </c>
      <c r="G69" s="27">
        <v>84</v>
      </c>
      <c r="H69" s="27">
        <v>0</v>
      </c>
      <c r="I69" s="27">
        <v>0</v>
      </c>
      <c r="J69" s="27">
        <v>0</v>
      </c>
      <c r="K69" s="27">
        <v>3410.4</v>
      </c>
      <c r="L69" s="27">
        <v>0</v>
      </c>
      <c r="M69" s="28" t="str">
        <f ca="1">IFERROR(__xludf.DUMMYFUNCTION("""COMPUTED_VALUE"""),"001")</f>
        <v>001</v>
      </c>
      <c r="N69" s="28" t="str">
        <f ca="1">IFERROR(__xludf.DUMMYFUNCTION("""COMPUTED_VALUE"""),"3773")</f>
        <v>3773</v>
      </c>
      <c r="O69" s="28" t="str">
        <f ca="1">IFERROR(__xludf.DUMMYFUNCTION("""COMPUTED_VALUE"""),"0324744")</f>
        <v>0324744</v>
      </c>
      <c r="P69" s="34">
        <v>3494.4</v>
      </c>
    </row>
    <row r="70" spans="1:16" s="8" customFormat="1" ht="21.95" customHeight="1">
      <c r="A70" s="29" t="str">
        <f ca="1">IFERROR(__xludf.DUMMYFUNCTION("""COMPUTED_VALUE"""),"Araguaina")</f>
        <v>Araguaina</v>
      </c>
      <c r="B70" s="29" t="str">
        <f ca="1">IFERROR(__xludf.DUMMYFUNCTION("""COMPUTED_VALUE"""),"Xambioa")</f>
        <v>Xambioa</v>
      </c>
      <c r="C70" s="29" t="str">
        <f ca="1">IFERROR(__xludf.DUMMYFUNCTION("""COMPUTED_VALUE"""),"AS. DE A. A ESC.PAROQUIAL SAO MIGUEL")</f>
        <v>AS. DE A. A ESC.PAROQUIAL SAO MIGUEL</v>
      </c>
      <c r="D70" s="30" t="str">
        <f ca="1">IFERROR(__xludf.DUMMYFUNCTION("""COMPUTED_VALUE"""),"01133698000186")</f>
        <v>01133698000186</v>
      </c>
      <c r="E70" s="31">
        <v>0</v>
      </c>
      <c r="F70" s="31">
        <v>0</v>
      </c>
      <c r="G70" s="31">
        <v>184.8</v>
      </c>
      <c r="H70" s="31">
        <v>4485.6000000000004</v>
      </c>
      <c r="I70" s="31">
        <v>0</v>
      </c>
      <c r="J70" s="31">
        <v>0</v>
      </c>
      <c r="K70" s="31">
        <v>0</v>
      </c>
      <c r="L70" s="31">
        <v>0</v>
      </c>
      <c r="M70" s="32" t="str">
        <f ca="1">IFERROR(__xludf.DUMMYFUNCTION("""COMPUTED_VALUE"""),"001")</f>
        <v>001</v>
      </c>
      <c r="N70" s="32" t="str">
        <f ca="1">IFERROR(__xludf.DUMMYFUNCTION("""COMPUTED_VALUE"""),"3773")</f>
        <v>3773</v>
      </c>
      <c r="O70" s="32" t="str">
        <f ca="1">IFERROR(__xludf.DUMMYFUNCTION("""COMPUTED_VALUE"""),"330035")</f>
        <v>330035</v>
      </c>
      <c r="P70" s="33">
        <v>4670.4000000000005</v>
      </c>
    </row>
  </sheetData>
  <autoFilter ref="A8:P70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70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Analene Aquino Câmara Aguiar</dc:creator>
  <cp:lastModifiedBy>47047917187</cp:lastModifiedBy>
  <dcterms:modified xsi:type="dcterms:W3CDTF">2019-11-11T17:42:06Z</dcterms:modified>
</cp:coreProperties>
</file>