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00" yWindow="225" windowWidth="19365" windowHeight="12195" tabRatio="980" activeTab="13"/>
  </bookViews>
  <sheets>
    <sheet name="ADMINISTRAÇAO " sheetId="1" r:id="rId1"/>
    <sheet name="SAPATAS" sheetId="2" r:id="rId2"/>
    <sheet name="BALDRAME" sheetId="3" r:id="rId3"/>
    <sheet name="AÇO" sheetId="4" r:id="rId4"/>
    <sheet name="VEDAÇÃO" sheetId="5" r:id="rId5"/>
    <sheet name="ESQUADRIAS E VIDROS" sheetId="6" r:id="rId6"/>
    <sheet name="COBERTURA" sheetId="7" r:id="rId7"/>
    <sheet name="LOUÇAS E BANC" sheetId="8" r:id="rId8"/>
    <sheet name="ESCAV SAN + PLUV" sheetId="9" r:id="rId9"/>
    <sheet name="REVEST. PAR" sheetId="10" r:id="rId10"/>
    <sheet name="PISO E TETO" sheetId="11" r:id="rId11"/>
    <sheet name="PINTURA" sheetId="12" r:id="rId12"/>
    <sheet name="COMPLEMENTARES" sheetId="13" r:id="rId13"/>
    <sheet name="Plan1" sheetId="14" r:id="rId14"/>
  </sheets>
  <externalReferences>
    <externalReference r:id="rId17"/>
  </externalReferences>
  <definedNames>
    <definedName name="_xlnm.Print_Area" localSheetId="3">'AÇO'!$B$1:$J$50</definedName>
    <definedName name="_xlnm.Print_Area" localSheetId="2">'BALDRAME'!$B$1:$N$82</definedName>
    <definedName name="_xlnm.Print_Area" localSheetId="6">'COBERTURA'!$A$1:$F$45</definedName>
    <definedName name="_xlnm.Print_Area" localSheetId="12">'COMPLEMENTARES'!$A$1:$B$28</definedName>
    <definedName name="_xlnm.Print_Area" localSheetId="8">'ESCAV SAN + PLUV'!$C$12:$L$59</definedName>
    <definedName name="_xlnm.Print_Area" localSheetId="5">'ESQUADRIAS E VIDROS'!$G$5:$M$61</definedName>
    <definedName name="_xlnm.Print_Area" localSheetId="7">'LOUÇAS E BANC'!$E$4:$I$41</definedName>
    <definedName name="_xlnm.Print_Area" localSheetId="11">'PINTURA'!$D$3:$R$24</definedName>
    <definedName name="_xlnm.Print_Area" localSheetId="10">'PISO E TETO'!$C$7:$G$72</definedName>
    <definedName name="_xlnm.Print_Area" localSheetId="9">'REVEST. PAR'!$B$3:$F$44</definedName>
    <definedName name="_xlnm.Print_Area" localSheetId="1">'SAPATAS'!$B$1:$R$52</definedName>
    <definedName name="_xlnm.Print_Area" localSheetId="4">'VEDAÇÃO'!$B$1:$F$22</definedName>
    <definedName name="DATABASE">TEXT('[1]Dados'!$G$30,"mm-aaaa")</definedName>
    <definedName name="Fonte">'LOUÇAS E BANC'!$I1</definedName>
  </definedNames>
  <calcPr fullCalcOnLoad="1"/>
</workbook>
</file>

<file path=xl/sharedStrings.xml><?xml version="1.0" encoding="utf-8"?>
<sst xmlns="http://schemas.openxmlformats.org/spreadsheetml/2006/main" count="861" uniqueCount="474">
  <si>
    <t>TOTAL</t>
  </si>
  <si>
    <t>Compr.</t>
  </si>
  <si>
    <t>Altura</t>
  </si>
  <si>
    <t>P1</t>
  </si>
  <si>
    <t>-</t>
  </si>
  <si>
    <t>MEMÓRIA DE CÁLCULO</t>
  </si>
  <si>
    <t>Tot. - M²</t>
  </si>
  <si>
    <t>ALVENARIA DE VEDAÇÃO</t>
  </si>
  <si>
    <t>CHAPISCO</t>
  </si>
  <si>
    <t>Perímetro</t>
  </si>
  <si>
    <t xml:space="preserve">ESQUADRIAS </t>
  </si>
  <si>
    <t xml:space="preserve">PORTA </t>
  </si>
  <si>
    <t>LARG</t>
  </si>
  <si>
    <t>ÁREA</t>
  </si>
  <si>
    <t xml:space="preserve">JANELA </t>
  </si>
  <si>
    <t>ALT</t>
  </si>
  <si>
    <t>QUANT</t>
  </si>
  <si>
    <t>MEMÓRIA DE CÁLCULO - PINTURA</t>
  </si>
  <si>
    <t>AMBIENTE</t>
  </si>
  <si>
    <t>PÉ DIREITO</t>
  </si>
  <si>
    <t>PERÍMETRO</t>
  </si>
  <si>
    <t>PISO                   M²</t>
  </si>
  <si>
    <t>L</t>
  </si>
  <si>
    <t>PI</t>
  </si>
  <si>
    <t>Local</t>
  </si>
  <si>
    <t>Àrea</t>
  </si>
  <si>
    <t>Total m²</t>
  </si>
  <si>
    <t>Área</t>
  </si>
  <si>
    <t>EMASSAMENTO DE PAREDE MASSA LATEX ACRILICA 2 DEMAOS - m²</t>
  </si>
  <si>
    <t>LASTRO DE CONCRETO/CONTRA PISO</t>
  </si>
  <si>
    <t>TIPO</t>
  </si>
  <si>
    <t>Desconto</t>
  </si>
  <si>
    <t>Comprimento</t>
  </si>
  <si>
    <t>Largura</t>
  </si>
  <si>
    <t>Quantidade</t>
  </si>
  <si>
    <t>JANELAS/PEITORIL</t>
  </si>
  <si>
    <t>TOTAL M</t>
  </si>
  <si>
    <t>REPETIÇÕES</t>
  </si>
  <si>
    <t>VERGAS</t>
  </si>
  <si>
    <t>COMP.</t>
  </si>
  <si>
    <t>DIAMETRO TUBO "MM"</t>
  </si>
  <si>
    <t>COMP. TUBO "M"</t>
  </si>
  <si>
    <t>LARGURA VALA "M"</t>
  </si>
  <si>
    <t>PROFUND. "M"</t>
  </si>
  <si>
    <t>VOL. ESCV. "M³"</t>
  </si>
  <si>
    <t>RAIO "M"</t>
  </si>
  <si>
    <t>VOL. ESCV. "M³" - TOTAL</t>
  </si>
  <si>
    <t>REATERRO "M³"</t>
  </si>
  <si>
    <t>REATERRO "M³" - TOTAL</t>
  </si>
  <si>
    <t>VOLUME  TUBO</t>
  </si>
  <si>
    <t>Àrea Adotada</t>
  </si>
  <si>
    <t>EMASSAMENTO  TETO</t>
  </si>
  <si>
    <t>EMASSAMENTO PAREDE</t>
  </si>
  <si>
    <t>PINTURA PAREDE</t>
  </si>
  <si>
    <t>PINTURA                  TETO</t>
  </si>
  <si>
    <t>ABRIR - MAD</t>
  </si>
  <si>
    <t>DESCONTO ABERTURAS</t>
  </si>
  <si>
    <t>LV</t>
  </si>
  <si>
    <t>VS</t>
  </si>
  <si>
    <t>PID</t>
  </si>
  <si>
    <t>ALTURAS ADOTADAS</t>
  </si>
  <si>
    <t xml:space="preserve">PORTA /JANELA </t>
  </si>
  <si>
    <t>ÁREA - M²</t>
  </si>
  <si>
    <t>ESCAVAÇÃO - SANITARIO</t>
  </si>
  <si>
    <t xml:space="preserve"> REATERRO - SANITARIO</t>
  </si>
  <si>
    <t>COBERTURA I</t>
  </si>
  <si>
    <t>PINTURA DE PAREDE</t>
  </si>
  <si>
    <t>PERÍMETRO REAL</t>
  </si>
  <si>
    <t>PERÍMETRO ADOTADO</t>
  </si>
  <si>
    <t>CL VENT</t>
  </si>
  <si>
    <t xml:space="preserve">DESCONTO ABERTURAS </t>
  </si>
  <si>
    <t>(m3)</t>
  </si>
  <si>
    <t>(m2)</t>
  </si>
  <si>
    <t xml:space="preserve"> (Kg)</t>
  </si>
  <si>
    <t xml:space="preserve"> (m3)</t>
  </si>
  <si>
    <t xml:space="preserve"> (m2)</t>
  </si>
  <si>
    <t>ALV. EMBAS.</t>
  </si>
  <si>
    <t>IMPERM</t>
  </si>
  <si>
    <t>ARMAÇÃO</t>
  </si>
  <si>
    <t>CONCRETO</t>
  </si>
  <si>
    <t>BOTA-FORA</t>
  </si>
  <si>
    <t>REATERRO</t>
  </si>
  <si>
    <t>MAGRO</t>
  </si>
  <si>
    <t>APILOAM.</t>
  </si>
  <si>
    <t>ESCAV</t>
  </si>
  <si>
    <t xml:space="preserve">TOTAL </t>
  </si>
  <si>
    <t>SA - 26</t>
  </si>
  <si>
    <t>SA - 25</t>
  </si>
  <si>
    <t>SA - 24</t>
  </si>
  <si>
    <t>SA - 23</t>
  </si>
  <si>
    <t>SA - 22</t>
  </si>
  <si>
    <t>SA - 21</t>
  </si>
  <si>
    <t>SA - 20</t>
  </si>
  <si>
    <t>SA - 19</t>
  </si>
  <si>
    <t>SA - 18</t>
  </si>
  <si>
    <t>SA - 17</t>
  </si>
  <si>
    <t>SA - 16</t>
  </si>
  <si>
    <t>SA - 15</t>
  </si>
  <si>
    <t>SA - 14</t>
  </si>
  <si>
    <t>SA - 13</t>
  </si>
  <si>
    <t>SA - 12</t>
  </si>
  <si>
    <t>SA - 11</t>
  </si>
  <si>
    <t>SA - 10</t>
  </si>
  <si>
    <t>SA - 9</t>
  </si>
  <si>
    <t>SA - 8</t>
  </si>
  <si>
    <t>SA - 7</t>
  </si>
  <si>
    <t>SA - 6</t>
  </si>
  <si>
    <t>SA - 5</t>
  </si>
  <si>
    <t>SA - 4</t>
  </si>
  <si>
    <t>SA - 3</t>
  </si>
  <si>
    <t>SA - 2</t>
  </si>
  <si>
    <t>SA - 1</t>
  </si>
  <si>
    <t xml:space="preserve"> (m)</t>
  </si>
  <si>
    <t>(nº)</t>
  </si>
  <si>
    <t>H</t>
  </si>
  <si>
    <t>SEÇÃO s</t>
  </si>
  <si>
    <t>LADO b</t>
  </si>
  <si>
    <t>LADO a</t>
  </si>
  <si>
    <t>df</t>
  </si>
  <si>
    <t>h1</t>
  </si>
  <si>
    <t>h0</t>
  </si>
  <si>
    <t>SEÇÃO  S</t>
  </si>
  <si>
    <t>LADO H</t>
  </si>
  <si>
    <t>LADO B</t>
  </si>
  <si>
    <t>SAPATA</t>
  </si>
  <si>
    <t>PILARES</t>
  </si>
  <si>
    <t>SAPATAS</t>
  </si>
  <si>
    <t xml:space="preserve">SERVIÇOS  </t>
  </si>
  <si>
    <t xml:space="preserve">DIMENSÕES  </t>
  </si>
  <si>
    <t>SAPATAS E ARRANQUES</t>
  </si>
  <si>
    <t>MEMORIA DE CALCULO - INFRAESTRUTURA</t>
  </si>
  <si>
    <t>VBA - 25</t>
  </si>
  <si>
    <t>VBA - 24</t>
  </si>
  <si>
    <t>VBA - 23</t>
  </si>
  <si>
    <t>VBA - 22</t>
  </si>
  <si>
    <t>VBA - 21</t>
  </si>
  <si>
    <t>VBA - 20</t>
  </si>
  <si>
    <t>VBA - 19</t>
  </si>
  <si>
    <t>VBA - 18</t>
  </si>
  <si>
    <t>VBA - 17</t>
  </si>
  <si>
    <t>VBA - 16</t>
  </si>
  <si>
    <t>VBA - 15</t>
  </si>
  <si>
    <t>VBA - 14</t>
  </si>
  <si>
    <t>VBA - 13</t>
  </si>
  <si>
    <t>VBA - 12</t>
  </si>
  <si>
    <t>VBA - 11</t>
  </si>
  <si>
    <t>VBA - 10</t>
  </si>
  <si>
    <t>VBA - 9</t>
  </si>
  <si>
    <t>VBA - 8</t>
  </si>
  <si>
    <t>VBA - 7</t>
  </si>
  <si>
    <t>VBA - 6</t>
  </si>
  <si>
    <t>VBA - 5</t>
  </si>
  <si>
    <t>VBA - 4</t>
  </si>
  <si>
    <t>VBA - 3</t>
  </si>
  <si>
    <t>VBA - 2</t>
  </si>
  <si>
    <t>VBA - 1</t>
  </si>
  <si>
    <t>ALTURA</t>
  </si>
  <si>
    <t>LARGURA</t>
  </si>
  <si>
    <t>BALDRAMES</t>
  </si>
  <si>
    <t>NÚMERO</t>
  </si>
  <si>
    <t>VIGA BALDRAME</t>
  </si>
  <si>
    <t xml:space="preserve"> (m²)</t>
  </si>
  <si>
    <t>AREA</t>
  </si>
  <si>
    <t>LAJE</t>
  </si>
  <si>
    <t>SA - 27</t>
  </si>
  <si>
    <t>SA - 28</t>
  </si>
  <si>
    <t>SA - 29</t>
  </si>
  <si>
    <t>SA - 30</t>
  </si>
  <si>
    <t>SA - 31</t>
  </si>
  <si>
    <t>SA - 32</t>
  </si>
  <si>
    <t>VBA - 26</t>
  </si>
  <si>
    <t>VBA - 27</t>
  </si>
  <si>
    <t>Tot. - M</t>
  </si>
  <si>
    <t>RUFO METALICO</t>
  </si>
  <si>
    <t>Desc. Esquad.</t>
  </si>
  <si>
    <t>REVESTIMENTO DE PISO - GRANITINA</t>
  </si>
  <si>
    <t xml:space="preserve"> ABERTURAS ESQUADRIAS   </t>
  </si>
  <si>
    <t xml:space="preserve">FUNDO SELADOR ACRÍLICO EM PAREDE - m² </t>
  </si>
  <si>
    <t>EMASSAMENTO DE TETO MASSA LATEX ACRILICA 2 DEMAOS - m² - P/ REPAROS</t>
  </si>
  <si>
    <t>FUNDO SELADOR ACRÍLICO EM TETO - m² - P/ REPAROS</t>
  </si>
  <si>
    <t>PINTURA DE TETO COM TINTA LÁTEX ACRÍLICA, DUAS DEMAOS - m²</t>
  </si>
  <si>
    <t>PAR.  HORIZT.</t>
  </si>
  <si>
    <t>JANELAS</t>
  </si>
  <si>
    <t>ALUM CORRER - 04 FLS</t>
  </si>
  <si>
    <t>Tipo</t>
  </si>
  <si>
    <t>CALHA METALICA</t>
  </si>
  <si>
    <t>PINTURA EM ESQUADRIA DE MADEIRA</t>
  </si>
  <si>
    <t>VBA - 28</t>
  </si>
  <si>
    <t>VBA - 29</t>
  </si>
  <si>
    <t>VBA - 30</t>
  </si>
  <si>
    <t>Total m³</t>
  </si>
  <si>
    <t>CALÇADA E PASSEIOS - 80X10CM</t>
  </si>
  <si>
    <t>LAJE - TRELIÇADA</t>
  </si>
  <si>
    <t>SA - 33</t>
  </si>
  <si>
    <t>SA - 34</t>
  </si>
  <si>
    <t>SA - 35</t>
  </si>
  <si>
    <t>SA - 36</t>
  </si>
  <si>
    <t>SA - 37</t>
  </si>
  <si>
    <t>SA - 38</t>
  </si>
  <si>
    <t>SA - 39</t>
  </si>
  <si>
    <t>SA - 40</t>
  </si>
  <si>
    <t>VBA - 31</t>
  </si>
  <si>
    <t>VBA - 33</t>
  </si>
  <si>
    <t>VBA - 34</t>
  </si>
  <si>
    <t>PM1</t>
  </si>
  <si>
    <t>JV 2</t>
  </si>
  <si>
    <t>JV 1</t>
  </si>
  <si>
    <t>JV1</t>
  </si>
  <si>
    <t>JV2</t>
  </si>
  <si>
    <t>JV3</t>
  </si>
  <si>
    <t xml:space="preserve">AREA </t>
  </si>
  <si>
    <t>CONSULTÓRIO I</t>
  </si>
  <si>
    <t>CONSULTÓRIO II</t>
  </si>
  <si>
    <t xml:space="preserve">Àrea </t>
  </si>
  <si>
    <t>CALÇAMENTO</t>
  </si>
  <si>
    <t>PINTURA DE PAREDE COM TINTA ACRÍLICA, DUAS DEMAOS - m²</t>
  </si>
  <si>
    <t>COBERTURA II</t>
  </si>
  <si>
    <t xml:space="preserve">        *agua fria (25)</t>
  </si>
  <si>
    <t>PAR.  VERT.</t>
  </si>
  <si>
    <t>JV 4</t>
  </si>
  <si>
    <t>PV1</t>
  </si>
  <si>
    <t>JV 3</t>
  </si>
  <si>
    <t>ALUM CORRER - 02 FLS</t>
  </si>
  <si>
    <t>JV4</t>
  </si>
  <si>
    <t xml:space="preserve">OBS: OS VALORES DA PLANILHA SERÃO /2 DEVIDO A OBRA SER EXECUTADA ATRAVÉS DE 02 CONVÊNIOS </t>
  </si>
  <si>
    <t>SANIT I</t>
  </si>
  <si>
    <t>SANIT MASC</t>
  </si>
  <si>
    <t>SANIT FEM</t>
  </si>
  <si>
    <t>RECEPÇÃO/ESPERA</t>
  </si>
  <si>
    <t xml:space="preserve">PARTE EXTERNA </t>
  </si>
  <si>
    <t>ADMINISTRAÇÃO</t>
  </si>
  <si>
    <t>LAJES</t>
  </si>
  <si>
    <t>CONVÊNIO : 771949/2012/MS/CAIXA</t>
  </si>
  <si>
    <t>MADEIRA LAMIN.</t>
  </si>
  <si>
    <t>VIDRO TEMP. 10MM</t>
  </si>
  <si>
    <t>ÁREA (M2)</t>
  </si>
  <si>
    <t>EMBOÇO/REVESTIMENTO CERÂMICO</t>
  </si>
  <si>
    <t>PISO CIMENTADO</t>
  </si>
  <si>
    <t>SANITÁRIO MASCULINO</t>
  </si>
  <si>
    <t>SANITÁRIO FEMININO</t>
  </si>
  <si>
    <t>BARRA DE APOIO RETA DE ALUMÍNIO INOX (0,80CM)</t>
  </si>
  <si>
    <t>MOVIMENTAÇÃO DE TERRA</t>
  </si>
  <si>
    <t>RESUMO PROJETO ESTRUTURAL</t>
  </si>
  <si>
    <t>DESCRIÇÃO</t>
  </si>
  <si>
    <t>SERVIÇOS</t>
  </si>
  <si>
    <t>FORMA (m2)</t>
  </si>
  <si>
    <t xml:space="preserve">AÇO CA-60 </t>
  </si>
  <si>
    <t>AÇO  CA-50</t>
  </si>
  <si>
    <t>5,0mm          (kg)</t>
  </si>
  <si>
    <t>6,3mm          (kg)</t>
  </si>
  <si>
    <t>8,0mm          (kg)</t>
  </si>
  <si>
    <t>10,0mm          (kg)</t>
  </si>
  <si>
    <t>INFRAESTRUTURA</t>
  </si>
  <si>
    <t>Sapatas + Arranque</t>
  </si>
  <si>
    <t>TOTAL INFRAESTRUTURA</t>
  </si>
  <si>
    <t>SUPERESTRUTURA</t>
  </si>
  <si>
    <t>Pilares</t>
  </si>
  <si>
    <t>Vigas de Cobertura</t>
  </si>
  <si>
    <t>TOTAL SUPERESTRUTURA</t>
  </si>
  <si>
    <t>Viga Baldrame Muro de Arrimo</t>
  </si>
  <si>
    <t>Viga Baldrame de Edifício</t>
  </si>
  <si>
    <t>Fck=20 (MPa)</t>
  </si>
  <si>
    <t xml:space="preserve">Laje treliçada </t>
  </si>
  <si>
    <t xml:space="preserve">Caixas de passagem </t>
  </si>
  <si>
    <t xml:space="preserve">LISTA DE MATERIAIS SANITÁRIO  </t>
  </si>
  <si>
    <t xml:space="preserve">Caixa de Gordura </t>
  </si>
  <si>
    <t xml:space="preserve">CES - 80x80 cm </t>
  </si>
  <si>
    <t xml:space="preserve">PVC esgoto </t>
  </si>
  <si>
    <t>Tubo PVC 40mm</t>
  </si>
  <si>
    <t>Tubo PVC 50mm</t>
  </si>
  <si>
    <t>Tubo PVC 75mm</t>
  </si>
  <si>
    <t>01 unid</t>
  </si>
  <si>
    <t>LISTA DE MATERIAIS HIDRÁULICO</t>
  </si>
  <si>
    <t>Tubo PVC 60mm</t>
  </si>
  <si>
    <t xml:space="preserve">MEMÓRIA DE CÁLCULO - PROJETO HIDRÁULICO </t>
  </si>
  <si>
    <t>PVC Hidráulico  (m)</t>
  </si>
  <si>
    <t>COBERTURA I,II,III</t>
  </si>
  <si>
    <t>Área: 136,73m²</t>
  </si>
  <si>
    <t>VALORES DIVIDIDOS EM DOIS CONVÊNIOS</t>
  </si>
  <si>
    <t>VALORES: BALDRAME</t>
  </si>
  <si>
    <t>MAXIM AR</t>
  </si>
  <si>
    <t xml:space="preserve">MAXIM AR </t>
  </si>
  <si>
    <t>PORTAS - MADEIRA - ALUM - VIDR</t>
  </si>
  <si>
    <t xml:space="preserve">Torneiras Cromadas de mesa </t>
  </si>
  <si>
    <t xml:space="preserve">Aparelhos </t>
  </si>
  <si>
    <t>03 unid</t>
  </si>
  <si>
    <t>02 unid</t>
  </si>
  <si>
    <t>CORRIMÃO EM TUBO AÇO GALVANIZADO 2.1/2"</t>
  </si>
  <si>
    <t>Data Base Preços: RELATÓRIO DE INSUMOS E COMPOSIÇÕES - 10/2018 - Com desoneração</t>
  </si>
  <si>
    <t xml:space="preserve">AREA EXTERNA </t>
  </si>
  <si>
    <t xml:space="preserve">Cuba de embutir oval em louça branca </t>
  </si>
  <si>
    <t>Conexões</t>
  </si>
  <si>
    <t>Sifão tipo garrafa/copo pvc</t>
  </si>
  <si>
    <t>REBOCO/MASSA</t>
  </si>
  <si>
    <t>RODAPE - MARMORITE</t>
  </si>
  <si>
    <t xml:space="preserve">SOLEIRA EM GRANITO </t>
  </si>
  <si>
    <t>MEMÓRIA DE CÁLCULO - ESQUADRIAS</t>
  </si>
  <si>
    <t>MEMÓRIA DE CÁLCULO  - REVESTIMENTO</t>
  </si>
  <si>
    <t xml:space="preserve">ATÉ 1,50M </t>
  </si>
  <si>
    <t xml:space="preserve">MAIS DE 1,50M </t>
  </si>
  <si>
    <t xml:space="preserve">ESCADA DE CONCRETO ARMADO MOLDADA IN LOCO </t>
  </si>
  <si>
    <t>1,57M³ CONCRETO FCK= 25MPA</t>
  </si>
  <si>
    <t>MEMÓRIA DE CÁLCULO  - ESCAVAÇÃO HIDROSSANITÁRIA/ MATERIAIS ESGOTO</t>
  </si>
  <si>
    <t>REVESTIMENTO DE PISO - CERAMICA 35X35</t>
  </si>
  <si>
    <t>VALORES: SAPATAS</t>
  </si>
  <si>
    <t>RESUMO DE MOVIMENTAÇÃO DE TERRA, CONCRETO MAGRO E ALV. DE EMBASAMENTO</t>
  </si>
  <si>
    <t>VBMA - 1</t>
  </si>
  <si>
    <t>VBMA - 2</t>
  </si>
  <si>
    <t>VBMA - 3</t>
  </si>
  <si>
    <t>VBMA - 4</t>
  </si>
  <si>
    <t>VBMA - 5</t>
  </si>
  <si>
    <t>VBMA - 6</t>
  </si>
  <si>
    <t>VBMA - 7</t>
  </si>
  <si>
    <t>VBMA - 8</t>
  </si>
  <si>
    <t>VBMA - 9</t>
  </si>
  <si>
    <t>VBMA - 10</t>
  </si>
  <si>
    <t>VBMA - 11</t>
  </si>
  <si>
    <t>VBMA - 12</t>
  </si>
  <si>
    <t>VBMA - 13</t>
  </si>
  <si>
    <t>VBMA - 14</t>
  </si>
  <si>
    <t>ALTURA DE ESCAV</t>
  </si>
  <si>
    <t>VIGA BALDRAME MURO DE ARRIMO</t>
  </si>
  <si>
    <t>ÁREA DE ESCAV.</t>
  </si>
  <si>
    <t>LARGURA DE ESCAV.</t>
  </si>
  <si>
    <t>(m)</t>
  </si>
  <si>
    <t>H DE ESCAV.</t>
  </si>
  <si>
    <t>VALORES: BALDRAME MURO DE ARRIMO</t>
  </si>
  <si>
    <t>VALORES: SAPATA + BALDRAME + BALDRAME DO MURO DE ARRIMO</t>
  </si>
  <si>
    <t>ATERRO (m³)</t>
  </si>
  <si>
    <t xml:space="preserve">H= Desnível de 1,40m segundo projeto </t>
  </si>
  <si>
    <t>comprimento = 20,30m</t>
  </si>
  <si>
    <t>Volume = ((1,40*20,30)/2) * 12,10</t>
  </si>
  <si>
    <t>Vigas Reservatório</t>
  </si>
  <si>
    <t>Vigas Platibanda</t>
  </si>
  <si>
    <t>TRELIÇADA 1D</t>
  </si>
  <si>
    <t>TOTAL INFRAESTRUTURA /2 - PARA 1 CONVÊNIO</t>
  </si>
  <si>
    <t>TOTAL SUPERESTRUTURA /2 - PARA 1 CONVÊNIO</t>
  </si>
  <si>
    <t>TOTAL (m2)</t>
  </si>
  <si>
    <t>ESCAV SAP.</t>
  </si>
  <si>
    <t>ESCAV. VIGAS</t>
  </si>
  <si>
    <t>1-ADMINISTRAÇÃO LOCAL</t>
  </si>
  <si>
    <t>Item</t>
  </si>
  <si>
    <t>Unid</t>
  </si>
  <si>
    <t>Mês</t>
  </si>
  <si>
    <t>Hr/dia</t>
  </si>
  <si>
    <t>Dias úteis/mês</t>
  </si>
  <si>
    <t>Total</t>
  </si>
  <si>
    <t>Engenheiro Civil</t>
  </si>
  <si>
    <t>Encarregado Geral</t>
  </si>
  <si>
    <t>Anotação de Responsabilidade Técnica</t>
  </si>
  <si>
    <t>unid</t>
  </si>
  <si>
    <t>2-SERVIÇOS PRELIMINARES</t>
  </si>
  <si>
    <t>2.1 - INSTALAÇÕES PROVISÓRIAS</t>
  </si>
  <si>
    <t>Placa de obra (Modelo SESAU)</t>
  </si>
  <si>
    <t>Comprimento (m)</t>
  </si>
  <si>
    <t>Altura (m)</t>
  </si>
  <si>
    <t>Área (m²)</t>
  </si>
  <si>
    <t>LIMPEZA DO TERRENO</t>
  </si>
  <si>
    <t>Ambiente</t>
  </si>
  <si>
    <t>Área da Ampliação</t>
  </si>
  <si>
    <t>Área Adotada</t>
  </si>
  <si>
    <t>Forma sapata</t>
  </si>
  <si>
    <t>Forma vigas</t>
  </si>
  <si>
    <t>Placa de obra /2 - PARA 1 CONVÊNIO</t>
  </si>
  <si>
    <t>Forma Pilares</t>
  </si>
  <si>
    <t>Lajes</t>
  </si>
  <si>
    <t>OBRA: NÚCLEO DE DIAGNÓSTICO E TRATAMENTO DAS LESÕES PRECURSORAS DO CÂNCER DE COLO DE ÚTERO</t>
  </si>
  <si>
    <t>Local : GUARAÍ - TO</t>
  </si>
  <si>
    <t>Fonte Preços: SINAPI - SISTEMA NACIONAL DE PESQUISA DE CUSTOS E ÍNDICES DA CONSTRUÇÃO CIVIL/CAIXA/IBGE</t>
  </si>
  <si>
    <t xml:space="preserve">Encargos Sociais Desonerados : 89,26% (HORA)                              BDI: 25 % </t>
  </si>
  <si>
    <t xml:space="preserve">CONTRAVERGA PRÉ-MOLDADA VÃO ATÉ 1,50M </t>
  </si>
  <si>
    <t xml:space="preserve">CONTRAVERGA PRÉ-MOLDADA VÃO DE MAIS DE 1,50M </t>
  </si>
  <si>
    <t xml:space="preserve">VERGA PRÉ-MOLDADA PARA JANELAS </t>
  </si>
  <si>
    <t xml:space="preserve">VERGA PRÉ-MOLDADA PARA PORTAS </t>
  </si>
  <si>
    <t>COBERTURA - TELHA TIPO FIBROCIMENTO</t>
  </si>
  <si>
    <t>ESTRUTURA METÁLICA</t>
  </si>
  <si>
    <t>MEMÓRIA DE CÁLCULO -  COBERTURA</t>
  </si>
  <si>
    <t>/2 convênios</t>
  </si>
  <si>
    <t>CUMEEIRA</t>
  </si>
  <si>
    <t>PINTURA ESMALTE, SOBRE SUPERFICIE METALICA</t>
  </si>
  <si>
    <t>MEMÓRIA DE CÁLCULO - PISO E TETO</t>
  </si>
  <si>
    <t>M2</t>
  </si>
  <si>
    <t>GESSO DESEMPENADO EM TETO</t>
  </si>
  <si>
    <t>TOTAL MAXIM AR</t>
  </si>
  <si>
    <t>MEMÓRIA DE CÁLCULO - SERVIÇOS COMPLEMENTARES</t>
  </si>
  <si>
    <t>ACABAMENTOS</t>
  </si>
  <si>
    <t>LIMPEZA FINAL</t>
  </si>
  <si>
    <t>INCÊNDIO</t>
  </si>
  <si>
    <t>EXTINTOR PÓ QUÍMICO</t>
  </si>
  <si>
    <t>PLACA DE SINALIZAÇÃO</t>
  </si>
  <si>
    <t>LUMINÁRIA DE EMERGÊNCIA</t>
  </si>
  <si>
    <t>ÁREA TOTAL DE JANELAS</t>
  </si>
  <si>
    <t>AREA DE ESQUADRIA - TOTAL</t>
  </si>
  <si>
    <t>SANITÁRIO CONSULTÓRIO II</t>
  </si>
  <si>
    <t>VASO SANITÁRIO /VÁLVULA DE DESCARGA</t>
  </si>
  <si>
    <t xml:space="preserve">BANCADAS GRANITO CINZA </t>
  </si>
  <si>
    <t>SANITÁRIO CONSULTÓRIO III</t>
  </si>
  <si>
    <t>BANCADA EM GRANITO CINZA 50x60</t>
  </si>
  <si>
    <t xml:space="preserve">SANITÁRIO FEMININO </t>
  </si>
  <si>
    <t>SANITARIO  MASCULINO</t>
  </si>
  <si>
    <t xml:space="preserve">BANCADA DE GRANITO CINZA POLIDO PARA PIA DE COZINHA 1,50 X 0,60 M - </t>
  </si>
  <si>
    <r>
      <t>TOTAL BANCADA GRANITO</t>
    </r>
    <r>
      <rPr>
        <b/>
        <u val="single"/>
        <sz val="8"/>
        <rFont val="Arial"/>
        <family val="2"/>
      </rPr>
      <t xml:space="preserve"> (DUAS UNIDADES)</t>
    </r>
  </si>
  <si>
    <r>
      <t>TOTAL BANCADA GRANITO (</t>
    </r>
    <r>
      <rPr>
        <b/>
        <u val="single"/>
        <sz val="8"/>
        <rFont val="Arial"/>
        <family val="2"/>
      </rPr>
      <t>DUAS UNIDADES</t>
    </r>
    <r>
      <rPr>
        <b/>
        <sz val="8"/>
        <rFont val="Arial"/>
        <family val="2"/>
      </rPr>
      <t>)</t>
    </r>
  </si>
  <si>
    <t>05 unid</t>
  </si>
  <si>
    <t xml:space="preserve">Pia Coluna louça branca </t>
  </si>
  <si>
    <t xml:space="preserve">02 unid </t>
  </si>
  <si>
    <t xml:space="preserve">Cuba Retangular </t>
  </si>
  <si>
    <t>5 Unid</t>
  </si>
  <si>
    <t>CG - 60x60 cm</t>
  </si>
  <si>
    <t xml:space="preserve">Caixa de inspensão de esgoto sifonada </t>
  </si>
  <si>
    <t xml:space="preserve">CES - 100x100 cm </t>
  </si>
  <si>
    <t xml:space="preserve">CES - 150x150 cm </t>
  </si>
  <si>
    <t xml:space="preserve">01 unid </t>
  </si>
  <si>
    <t xml:space="preserve">Caixa Sifonada PVC </t>
  </si>
  <si>
    <t xml:space="preserve">03 unid </t>
  </si>
  <si>
    <t>Tubo PVC 100mm</t>
  </si>
  <si>
    <t>Tubo PVC 150mm</t>
  </si>
  <si>
    <t>Tubo PVC 200mm</t>
  </si>
  <si>
    <t>* Lançado como CES 100x100cm</t>
  </si>
  <si>
    <t>2011,59 KG</t>
  </si>
  <si>
    <t>Tubo PVC 25 mm</t>
  </si>
  <si>
    <t xml:space="preserve">AREA/2 </t>
  </si>
  <si>
    <t>(m²)</t>
  </si>
  <si>
    <t xml:space="preserve"> </t>
  </si>
  <si>
    <t xml:space="preserve">MEMÓRIA DE CÁLCULO - ELÉTRICA </t>
  </si>
  <si>
    <t>9 - INSTALAÇÕES ELÉTRICAS</t>
  </si>
  <si>
    <t/>
  </si>
  <si>
    <t>9.1 - ELETRODUTOS E CAIXAS</t>
  </si>
  <si>
    <t>Rasgo em alvenaria para eletrodutos com diametros menores ou iguais a 40 mm</t>
  </si>
  <si>
    <t>Eletroduto flexível corrugado, PVC, DN 25 mm (3/4"), instalado em parede</t>
  </si>
  <si>
    <t>M</t>
  </si>
  <si>
    <t>Eletroduto flexível corrugado, PVC, DN 32 mm (1"), instalado em parede</t>
  </si>
  <si>
    <t>TOTAL DE RASGO</t>
  </si>
  <si>
    <t>Chumbamento linear em alvenaria para ramais/distribuição com diâmetros maiores que 40 mm e menores ou iguais a 75 mm</t>
  </si>
  <si>
    <t>TOTAL DE CHUMBAMENTO</t>
  </si>
  <si>
    <t>Eletroduto flexível corrugado, PVC, DN 25 mm (3/4"), para circuitos terminais, instalado em parede</t>
  </si>
  <si>
    <t>Eletroduto flexível corrugado, PVC, DN 25 mm (3/4"), para circuitos terminais, instalado em laje</t>
  </si>
  <si>
    <t>Eletroduto flexível corrugado, PVC, DN 32 mm (1"), para circuitos terminais, instalado em parede</t>
  </si>
  <si>
    <t>Eletroduto flexível corrugado, PVC, DN 32 mm (1"), para circuitos terminais, instalado em laje</t>
  </si>
  <si>
    <t>Eletroduto flexível liso, PEAD, DN 40 mm (1 1/4"), instalado em laje</t>
  </si>
  <si>
    <t xml:space="preserve">Eletroduto flexível corrugado, PEAD, DN 63 (2") </t>
  </si>
  <si>
    <t>Caixa retangular 4" x 2" baixa (0,30 m do piso), pvc, instalada em parede</t>
  </si>
  <si>
    <t>UN</t>
  </si>
  <si>
    <t>Caixa retangular 4" x 2" média (1,30 m do piso), pvc, instalada em parede</t>
  </si>
  <si>
    <t>Caixa retangular 4" x 2" alta (2,00 m do piso), pvc, instalada em parede</t>
  </si>
  <si>
    <t>CAIXA ENTERRADA ELÉTRICA RETANGULAR, EM ALVENARIA COM TIJOLOS CERÂMICOS MACIÇOS, FUNDO COM BRITA, DIMENSÕES INTERNAS: 0,6X0,6X0,6 M. AF_05/2018</t>
  </si>
  <si>
    <t>CAIXA OCTOGONAL 4" X 4", PVC, INSTALADA EM LAJE - FORNECIMENTO E INSTALAÇÃO. AF_12/2015</t>
  </si>
  <si>
    <t>9.2 - FIOS E CABOS</t>
  </si>
  <si>
    <t>Cabo de cobre flexível isolado, 2,5 mm², anti-chama 450/750 V, para circuitos terminais</t>
  </si>
  <si>
    <t>Cabo de cobre flexível isolado, 4 mm², anti-chama 450/750 V, para circuitos terminais</t>
  </si>
  <si>
    <t>Cabo de cobre flexível isolado, 6 mm², anti-chama 450/750 V, para circuitos terminais</t>
  </si>
  <si>
    <t>Cabo de cobre flexível isolado, 10 mm², anti-chama 0,6/1 KV, para circuitos terminais</t>
  </si>
  <si>
    <t>9.3 - QUADROS E PROTEÇÃO</t>
  </si>
  <si>
    <t>Quadro de distribuicao de energia de embutir, em chapa metalica, para 24 disjuntores termomagneticos monopolares, com barramento trifasico e neutro</t>
  </si>
  <si>
    <t>Disjuntor monopolar tipo DIN, corrente nominal de 10A</t>
  </si>
  <si>
    <t>Disjuntor monopolar tipo DIN, corrente nominal de 16A</t>
  </si>
  <si>
    <t>Disjuntor monopolar tipo DIN, corrente nominal de 20A</t>
  </si>
  <si>
    <t>Disjuntor tripolar tipo din, corrente nominal de 16a - fornecimento e instalação.</t>
  </si>
  <si>
    <t>Disjuntor tripolar tipo din, corrente nominal de 25a - fornecimento e instalação.</t>
  </si>
  <si>
    <t>Disjuntor tripolar tipo din, corrente nominal de 40A</t>
  </si>
  <si>
    <t>Disjuntor tripolar tipo din, corrente nominal de 50A</t>
  </si>
  <si>
    <t>Dispositivo dps classe II, 1 polo, tensao maxima de 275 V, corrente maxima de *20* KA (tipo AC)</t>
  </si>
  <si>
    <t xml:space="preserve">UN    </t>
  </si>
  <si>
    <t>9.4 - INTERRUPTORES E TOMADAS</t>
  </si>
  <si>
    <t>Interruptor simples (1 módulo), 10A/250V, incluindo suporte e placa</t>
  </si>
  <si>
    <t>Tomada alta de embutir (1 módulo), 2P+T 20 A, incluindo suporte e placa</t>
  </si>
  <si>
    <t>Tomada média de embutir (1 módulo), 2P+T 10 A, incluindo suporte e placa</t>
  </si>
  <si>
    <t>Tomada baixa de embutir (2 módulos), 2P+T 10 A, incluindo suporte e placa</t>
  </si>
  <si>
    <t>Tomada média de embutir (2 módulos), 2P+T 10 A, incluindo suporte e placa</t>
  </si>
  <si>
    <t>Tomada trifásica 4P</t>
  </si>
  <si>
    <t xml:space="preserve">DISPOSITIVO DR </t>
  </si>
  <si>
    <t>9.5 - LÂMPADAS E LUMINÁRIAS</t>
  </si>
  <si>
    <t>LUMINÁRIA TIPO PLAFON, DE SOBREPOR, COM 1 LÂMPADA LED</t>
  </si>
  <si>
    <t>LUMINÁRIA ARANDELA TIPO MEIA-LUA, PARA 1 LÂMPADA LED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</si>
</sst>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0.00;[Red]0.00"/>
    <numFmt numFmtId="193" formatCode="0.0000;[Red]0.0000"/>
    <numFmt numFmtId="194" formatCode="0.00000;[Red]0.00000"/>
    <numFmt numFmtId="195" formatCode="0.000;[Red]0.000"/>
    <numFmt numFmtId="196" formatCode="0.0;[Red]0.0"/>
    <numFmt numFmtId="197" formatCode="0;[Red]0"/>
    <numFmt numFmtId="198" formatCode="0.0"/>
    <numFmt numFmtId="199" formatCode="#\ ?/100"/>
    <numFmt numFmtId="200" formatCode="0.00000"/>
    <numFmt numFmtId="201" formatCode="0.0000"/>
    <numFmt numFmtId="202" formatCode="0.000"/>
    <numFmt numFmtId="203" formatCode="d/m"/>
    <numFmt numFmtId="204" formatCode="d/m/yy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0.000000"/>
    <numFmt numFmtId="209" formatCode="_-* #,##0.000_-;\-* #,##0.000_-;_-* &quot;-&quot;??_-;_-@_-"/>
    <numFmt numFmtId="210" formatCode="_-* #,##0.0000_-;\-* #,##0.0000_-;_-* &quot;-&quot;????_-;_-@_-"/>
    <numFmt numFmtId="211" formatCode="_ * #,##0.000_ ;_ * \-#,##0.000_ ;_ * &quot;-&quot;??_ ;_ @_ "/>
    <numFmt numFmtId="212" formatCode="&quot;Ativado&quot;;&quot;Ativado&quot;;&quot;Desativado&quot;"/>
    <numFmt numFmtId="213" formatCode="[$€-2]\ #,##0.00_);[Red]\([$€-2]\ #,##0.00\)"/>
    <numFmt numFmtId="214" formatCode="[$-416]dddd\,\ d&quot; de &quot;mmmm&quot; de &quot;yyyy"/>
    <numFmt numFmtId="215" formatCode="0.0000000"/>
    <numFmt numFmtId="216" formatCode="[$-F800]dddd\,\ mmmm\ dd\,\ yyyy"/>
  </numFmts>
  <fonts count="1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b/>
      <u val="single"/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9"/>
      <name val="Aharoni"/>
      <family val="0"/>
    </font>
    <font>
      <sz val="10"/>
      <color indexed="9"/>
      <name val="Arial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8"/>
      <color indexed="10"/>
      <name val="Arial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theme="4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9" tint="0.5999900102615356"/>
      <name val="Arial"/>
      <family val="2"/>
    </font>
    <font>
      <b/>
      <sz val="10"/>
      <color theme="0"/>
      <name val="Aharoni"/>
      <family val="0"/>
    </font>
    <font>
      <sz val="10"/>
      <color theme="0"/>
      <name val="Arial"/>
      <family val="2"/>
    </font>
    <font>
      <b/>
      <sz val="11"/>
      <color theme="3" tint="0.39998000860214233"/>
      <name val="Calibri"/>
      <family val="2"/>
    </font>
    <font>
      <b/>
      <sz val="12"/>
      <color theme="3" tint="0.39998000860214233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8"/>
      <color rgb="FFFF0000"/>
      <name val="Arial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FAB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/>
      <top style="medium"/>
      <bottom style="medium">
        <color theme="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6" fillId="21" borderId="5" applyNumberFormat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85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10" xfId="73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185" fontId="1" fillId="0" borderId="0" xfId="73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01" fontId="0" fillId="0" borderId="10" xfId="0" applyNumberFormat="1" applyFont="1" applyBorder="1" applyAlignment="1">
      <alignment horizontal="center" vertical="center"/>
    </xf>
    <xf numFmtId="200" fontId="0" fillId="0" borderId="10" xfId="0" applyNumberFormat="1" applyBorder="1" applyAlignment="1">
      <alignment horizontal="center" vertical="center"/>
    </xf>
    <xf numFmtId="201" fontId="0" fillId="0" borderId="10" xfId="0" applyNumberFormat="1" applyBorder="1" applyAlignment="1">
      <alignment horizontal="center" vertical="center"/>
    </xf>
    <xf numFmtId="201" fontId="0" fillId="0" borderId="15" xfId="0" applyNumberFormat="1" applyFont="1" applyBorder="1" applyAlignment="1">
      <alignment horizontal="center" vertical="center"/>
    </xf>
    <xf numFmtId="200" fontId="0" fillId="0" borderId="15" xfId="0" applyNumberFormat="1" applyBorder="1" applyAlignment="1">
      <alignment horizontal="center" vertical="center"/>
    </xf>
    <xf numFmtId="201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85" fontId="0" fillId="0" borderId="0" xfId="73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5" fontId="1" fillId="0" borderId="0" xfId="73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85" fontId="0" fillId="0" borderId="16" xfId="73" applyFont="1" applyFill="1" applyBorder="1" applyAlignment="1">
      <alignment/>
    </xf>
    <xf numFmtId="20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7" fillId="0" borderId="0" xfId="56">
      <alignment/>
      <protection/>
    </xf>
    <xf numFmtId="0" fontId="18" fillId="0" borderId="0" xfId="56" applyFont="1" applyFill="1">
      <alignment/>
      <protection/>
    </xf>
    <xf numFmtId="0" fontId="8" fillId="0" borderId="25" xfId="56" applyFont="1" applyBorder="1" applyAlignment="1">
      <alignment horizontal="center" vertical="center"/>
      <protection/>
    </xf>
    <xf numFmtId="0" fontId="10" fillId="0" borderId="26" xfId="56" applyFont="1" applyBorder="1" applyAlignment="1">
      <alignment horizontal="center" vertical="center"/>
      <protection/>
    </xf>
    <xf numFmtId="4" fontId="8" fillId="34" borderId="27" xfId="56" applyNumberFormat="1" applyFont="1" applyFill="1" applyBorder="1" applyAlignment="1">
      <alignment horizontal="center" vertical="center"/>
      <protection/>
    </xf>
    <xf numFmtId="0" fontId="67" fillId="0" borderId="0" xfId="56" applyFill="1">
      <alignment/>
      <protection/>
    </xf>
    <xf numFmtId="0" fontId="84" fillId="0" borderId="0" xfId="56" applyFont="1">
      <alignment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5" fillId="0" borderId="25" xfId="56" applyFont="1" applyBorder="1" applyAlignment="1">
      <alignment horizontal="center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Border="1" applyAlignment="1">
      <alignment horizontal="center" vertical="center"/>
      <protection/>
    </xf>
    <xf numFmtId="0" fontId="67" fillId="0" borderId="0" xfId="55">
      <alignment/>
      <protection/>
    </xf>
    <xf numFmtId="0" fontId="67" fillId="0" borderId="0" xfId="55" applyAlignment="1">
      <alignment/>
      <protection/>
    </xf>
    <xf numFmtId="4" fontId="67" fillId="0" borderId="0" xfId="55" applyNumberFormat="1">
      <alignment/>
      <protection/>
    </xf>
    <xf numFmtId="4" fontId="8" fillId="34" borderId="27" xfId="55" applyNumberFormat="1" applyFont="1" applyFill="1" applyBorder="1" applyAlignment="1">
      <alignment horizontal="center" vertical="center"/>
      <protection/>
    </xf>
    <xf numFmtId="0" fontId="67" fillId="34" borderId="28" xfId="55" applyFill="1" applyBorder="1" applyAlignment="1">
      <alignment horizontal="centerContinuous" vertical="center"/>
      <protection/>
    </xf>
    <xf numFmtId="0" fontId="8" fillId="34" borderId="29" xfId="55" applyFont="1" applyFill="1" applyBorder="1" applyAlignment="1">
      <alignment horizontal="centerContinuous" vertical="center"/>
      <protection/>
    </xf>
    <xf numFmtId="2" fontId="67" fillId="0" borderId="0" xfId="55" applyNumberFormat="1">
      <alignment/>
      <protection/>
    </xf>
    <xf numFmtId="2" fontId="83" fillId="0" borderId="0" xfId="55" applyNumberFormat="1" applyFont="1" applyAlignment="1">
      <alignment horizontal="center"/>
      <protection/>
    </xf>
    <xf numFmtId="0" fontId="84" fillId="0" borderId="0" xfId="55" applyFont="1">
      <alignment/>
      <protection/>
    </xf>
    <xf numFmtId="0" fontId="85" fillId="0" borderId="0" xfId="55" applyFont="1" applyAlignment="1">
      <alignment horizontal="center"/>
      <protection/>
    </xf>
    <xf numFmtId="0" fontId="8" fillId="0" borderId="25" xfId="55" applyFont="1" applyBorder="1" applyAlignment="1">
      <alignment horizontal="center" vertical="center"/>
      <protection/>
    </xf>
    <xf numFmtId="0" fontId="84" fillId="0" borderId="25" xfId="55" applyFont="1" applyBorder="1">
      <alignment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30" xfId="55" applyFont="1" applyBorder="1" applyAlignment="1">
      <alignment horizontal="center" vertical="center"/>
      <protection/>
    </xf>
    <xf numFmtId="0" fontId="10" fillId="0" borderId="26" xfId="55" applyFont="1" applyBorder="1" applyAlignment="1">
      <alignment horizontal="center" vertical="center"/>
      <protection/>
    </xf>
    <xf numFmtId="0" fontId="1" fillId="0" borderId="30" xfId="55" applyFont="1" applyBorder="1" applyAlignment="1">
      <alignment horizontal="center" vertical="center"/>
      <protection/>
    </xf>
    <xf numFmtId="0" fontId="1" fillId="0" borderId="26" xfId="55" applyFont="1" applyBorder="1" applyAlignment="1">
      <alignment horizontal="center" vertical="center"/>
      <protection/>
    </xf>
    <xf numFmtId="0" fontId="12" fillId="34" borderId="31" xfId="55" applyFont="1" applyFill="1" applyBorder="1" applyAlignment="1">
      <alignment horizontal="left" vertical="top"/>
      <protection/>
    </xf>
    <xf numFmtId="0" fontId="12" fillId="34" borderId="32" xfId="55" applyFont="1" applyFill="1" applyBorder="1" applyAlignment="1">
      <alignment horizontal="left" vertical="top"/>
      <protection/>
    </xf>
    <xf numFmtId="49" fontId="85" fillId="0" borderId="17" xfId="55" applyNumberFormat="1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4" fontId="15" fillId="0" borderId="0" xfId="47" applyFont="1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5" fontId="1" fillId="0" borderId="0" xfId="0" applyNumberFormat="1" applyFont="1" applyFill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vertical="center"/>
    </xf>
    <xf numFmtId="185" fontId="9" fillId="13" borderId="24" xfId="0" applyNumberFormat="1" applyFont="1" applyFill="1" applyBorder="1" applyAlignment="1">
      <alignment horizontal="center" vertical="center"/>
    </xf>
    <xf numFmtId="2" fontId="40" fillId="0" borderId="34" xfId="0" applyNumberFormat="1" applyFont="1" applyFill="1" applyBorder="1" applyAlignment="1">
      <alignment horizontal="center" vertical="center" wrapText="1"/>
    </xf>
    <xf numFmtId="2" fontId="40" fillId="0" borderId="35" xfId="0" applyNumberFormat="1" applyFont="1" applyFill="1" applyBorder="1" applyAlignment="1">
      <alignment horizontal="center" vertical="center" wrapText="1"/>
    </xf>
    <xf numFmtId="2" fontId="40" fillId="0" borderId="35" xfId="0" applyNumberFormat="1" applyFont="1" applyFill="1" applyBorder="1" applyAlignment="1">
      <alignment vertical="center" wrapText="1"/>
    </xf>
    <xf numFmtId="2" fontId="40" fillId="35" borderId="36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6" fillId="0" borderId="0" xfId="0" applyNumberFormat="1" applyFont="1" applyFill="1" applyBorder="1" applyAlignment="1">
      <alignment horizontal="center" vertical="center"/>
    </xf>
    <xf numFmtId="4" fontId="8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85" fontId="10" fillId="0" borderId="0" xfId="73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2" fontId="9" fillId="36" borderId="3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7" fillId="0" borderId="0" xfId="0" applyFont="1" applyAlignment="1">
      <alignment horizontal="center" vertical="center"/>
    </xf>
    <xf numFmtId="185" fontId="9" fillId="0" borderId="38" xfId="73" applyFont="1" applyFill="1" applyBorder="1" applyAlignment="1">
      <alignment vertical="center"/>
    </xf>
    <xf numFmtId="2" fontId="1" fillId="0" borderId="15" xfId="73" applyNumberFormat="1" applyFont="1" applyFill="1" applyBorder="1" applyAlignment="1">
      <alignment horizontal="center" vertical="center"/>
    </xf>
    <xf numFmtId="2" fontId="9" fillId="11" borderId="24" xfId="0" applyNumberFormat="1" applyFont="1" applyFill="1" applyBorder="1" applyAlignment="1">
      <alignment horizontal="center" vertical="center"/>
    </xf>
    <xf numFmtId="2" fontId="9" fillId="8" borderId="37" xfId="0" applyNumberFormat="1" applyFont="1" applyFill="1" applyBorder="1" applyAlignment="1">
      <alignment horizontal="center" vertical="center"/>
    </xf>
    <xf numFmtId="2" fontId="40" fillId="35" borderId="28" xfId="0" applyNumberFormat="1" applyFont="1" applyFill="1" applyBorder="1" applyAlignment="1">
      <alignment horizontal="center" vertical="center" wrapText="1"/>
    </xf>
    <xf numFmtId="2" fontId="40" fillId="0" borderId="39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/>
    </xf>
    <xf numFmtId="201" fontId="67" fillId="0" borderId="0" xfId="55" applyNumberFormat="1">
      <alignment/>
      <protection/>
    </xf>
    <xf numFmtId="2" fontId="10" fillId="0" borderId="40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2" fontId="10" fillId="0" borderId="4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2" fontId="88" fillId="0" borderId="0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9" fillId="0" borderId="0" xfId="73" applyFont="1" applyFill="1" applyBorder="1" applyAlignment="1">
      <alignment vertical="center"/>
    </xf>
    <xf numFmtId="2" fontId="89" fillId="0" borderId="0" xfId="0" applyNumberFormat="1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2" fontId="91" fillId="0" borderId="11" xfId="0" applyNumberFormat="1" applyFont="1" applyFill="1" applyBorder="1" applyAlignment="1">
      <alignment horizontal="center" vertical="center"/>
    </xf>
    <xf numFmtId="2" fontId="91" fillId="0" borderId="12" xfId="0" applyNumberFormat="1" applyFont="1" applyFill="1" applyBorder="1" applyAlignment="1">
      <alignment horizontal="center" vertical="center"/>
    </xf>
    <xf numFmtId="2" fontId="91" fillId="0" borderId="13" xfId="0" applyNumberFormat="1" applyFont="1" applyFill="1" applyBorder="1" applyAlignment="1">
      <alignment horizontal="center" vertical="center"/>
    </xf>
    <xf numFmtId="2" fontId="91" fillId="0" borderId="17" xfId="0" applyNumberFormat="1" applyFont="1" applyFill="1" applyBorder="1" applyAlignment="1">
      <alignment horizontal="center" vertical="center"/>
    </xf>
    <xf numFmtId="2" fontId="91" fillId="0" borderId="10" xfId="0" applyNumberFormat="1" applyFont="1" applyFill="1" applyBorder="1" applyAlignment="1">
      <alignment horizontal="center" vertical="center"/>
    </xf>
    <xf numFmtId="2" fontId="91" fillId="0" borderId="14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2" fontId="93" fillId="0" borderId="0" xfId="0" applyNumberFormat="1" applyFont="1" applyBorder="1" applyAlignment="1">
      <alignment horizontal="center" vertical="center"/>
    </xf>
    <xf numFmtId="185" fontId="90" fillId="0" borderId="0" xfId="73" applyFont="1" applyFill="1" applyBorder="1" applyAlignment="1">
      <alignment vertical="center"/>
    </xf>
    <xf numFmtId="0" fontId="92" fillId="0" borderId="0" xfId="0" applyFont="1" applyFill="1" applyBorder="1" applyAlignment="1">
      <alignment vertical="top"/>
    </xf>
    <xf numFmtId="2" fontId="91" fillId="0" borderId="41" xfId="0" applyNumberFormat="1" applyFont="1" applyBorder="1" applyAlignment="1">
      <alignment horizontal="center" vertical="center"/>
    </xf>
    <xf numFmtId="2" fontId="91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85" fontId="10" fillId="0" borderId="0" xfId="73" applyFont="1" applyFill="1" applyBorder="1" applyAlignment="1">
      <alignment horizontal="center" vertical="center"/>
    </xf>
    <xf numFmtId="185" fontId="4" fillId="0" borderId="0" xfId="73" applyFont="1" applyFill="1" applyBorder="1" applyAlignment="1">
      <alignment vertical="center"/>
    </xf>
    <xf numFmtId="185" fontId="91" fillId="0" borderId="0" xfId="73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185" fontId="91" fillId="0" borderId="0" xfId="0" applyNumberFormat="1" applyFont="1" applyFill="1" applyBorder="1" applyAlignment="1">
      <alignment horizontal="center" vertical="center"/>
    </xf>
    <xf numFmtId="43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10" fillId="0" borderId="0" xfId="0" applyFont="1" applyAlignment="1">
      <alignment horizontal="center"/>
    </xf>
    <xf numFmtId="185" fontId="10" fillId="0" borderId="0" xfId="73" applyFont="1" applyFill="1" applyBorder="1" applyAlignment="1">
      <alignment horizontal="center"/>
    </xf>
    <xf numFmtId="185" fontId="4" fillId="0" borderId="0" xfId="73" applyFont="1" applyFill="1" applyBorder="1" applyAlignment="1">
      <alignment/>
    </xf>
    <xf numFmtId="0" fontId="91" fillId="0" borderId="16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185" fontId="91" fillId="35" borderId="27" xfId="73" applyFont="1" applyFill="1" applyBorder="1" applyAlignment="1">
      <alignment horizontal="center" vertical="center"/>
    </xf>
    <xf numFmtId="185" fontId="91" fillId="0" borderId="17" xfId="73" applyFont="1" applyFill="1" applyBorder="1" applyAlignment="1">
      <alignment vertical="center"/>
    </xf>
    <xf numFmtId="185" fontId="91" fillId="0" borderId="44" xfId="73" applyFont="1" applyFill="1" applyBorder="1" applyAlignment="1">
      <alignment vertical="center"/>
    </xf>
    <xf numFmtId="0" fontId="91" fillId="0" borderId="0" xfId="0" applyFont="1" applyBorder="1" applyAlignment="1">
      <alignment/>
    </xf>
    <xf numFmtId="0" fontId="91" fillId="0" borderId="45" xfId="0" applyFont="1" applyFill="1" applyBorder="1" applyAlignment="1">
      <alignment horizontal="center" vertical="center"/>
    </xf>
    <xf numFmtId="185" fontId="91" fillId="0" borderId="46" xfId="73" applyFont="1" applyFill="1" applyBorder="1" applyAlignment="1">
      <alignment vertical="center"/>
    </xf>
    <xf numFmtId="185" fontId="91" fillId="0" borderId="47" xfId="73" applyFont="1" applyFill="1" applyBorder="1" applyAlignment="1">
      <alignment vertical="center"/>
    </xf>
    <xf numFmtId="185" fontId="91" fillId="37" borderId="17" xfId="73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91" fillId="0" borderId="41" xfId="0" applyFont="1" applyFill="1" applyBorder="1" applyAlignment="1">
      <alignment horizontal="center" vertical="center"/>
    </xf>
    <xf numFmtId="185" fontId="91" fillId="0" borderId="48" xfId="73" applyFont="1" applyFill="1" applyBorder="1" applyAlignment="1">
      <alignment vertical="center"/>
    </xf>
    <xf numFmtId="0" fontId="10" fillId="0" borderId="49" xfId="0" applyFont="1" applyFill="1" applyBorder="1" applyAlignment="1">
      <alignment/>
    </xf>
    <xf numFmtId="185" fontId="91" fillId="0" borderId="50" xfId="73" applyFont="1" applyFill="1" applyBorder="1" applyAlignment="1">
      <alignment vertical="center"/>
    </xf>
    <xf numFmtId="185" fontId="91" fillId="35" borderId="27" xfId="73" applyFont="1" applyFill="1" applyBorder="1" applyAlignment="1">
      <alignment horizontal="center"/>
    </xf>
    <xf numFmtId="0" fontId="4" fillId="0" borderId="0" xfId="57" applyFont="1">
      <alignment/>
      <protection/>
    </xf>
    <xf numFmtId="0" fontId="10" fillId="0" borderId="28" xfId="57" applyFont="1" applyFill="1" applyBorder="1" applyAlignment="1">
      <alignment horizontal="center"/>
      <protection/>
    </xf>
    <xf numFmtId="185" fontId="4" fillId="0" borderId="17" xfId="75" applyFont="1" applyFill="1" applyBorder="1" applyAlignment="1">
      <alignment horizontal="center"/>
    </xf>
    <xf numFmtId="185" fontId="4" fillId="0" borderId="10" xfId="75" applyFont="1" applyFill="1" applyBorder="1" applyAlignment="1">
      <alignment/>
    </xf>
    <xf numFmtId="185" fontId="4" fillId="0" borderId="51" xfId="75" applyFont="1" applyFill="1" applyBorder="1" applyAlignment="1">
      <alignment horizontal="center"/>
    </xf>
    <xf numFmtId="185" fontId="4" fillId="0" borderId="52" xfId="75" applyFont="1" applyFill="1" applyBorder="1" applyAlignment="1">
      <alignment horizontal="center"/>
    </xf>
    <xf numFmtId="185" fontId="4" fillId="0" borderId="53" xfId="75" applyFont="1" applyFill="1" applyBorder="1" applyAlignment="1">
      <alignment/>
    </xf>
    <xf numFmtId="43" fontId="10" fillId="35" borderId="27" xfId="75" applyNumberFormat="1" applyFont="1" applyFill="1" applyBorder="1" applyAlignment="1">
      <alignment horizontal="center"/>
    </xf>
    <xf numFmtId="0" fontId="10" fillId="0" borderId="0" xfId="57" applyFont="1" applyFill="1" applyBorder="1" applyAlignment="1">
      <alignment horizontal="center"/>
      <protection/>
    </xf>
    <xf numFmtId="185" fontId="10" fillId="0" borderId="0" xfId="75" applyFont="1" applyFill="1" applyBorder="1" applyAlignment="1">
      <alignment horizontal="center"/>
    </xf>
    <xf numFmtId="0" fontId="10" fillId="0" borderId="41" xfId="57" applyFont="1" applyFill="1" applyBorder="1" applyAlignment="1">
      <alignment horizontal="center" vertical="center"/>
      <protection/>
    </xf>
    <xf numFmtId="0" fontId="10" fillId="0" borderId="41" xfId="57" applyFont="1" applyFill="1" applyBorder="1" applyAlignment="1">
      <alignment horizontal="center" vertical="center" wrapText="1"/>
      <protection/>
    </xf>
    <xf numFmtId="185" fontId="4" fillId="0" borderId="54" xfId="75" applyFont="1" applyFill="1" applyBorder="1" applyAlignment="1">
      <alignment horizontal="center"/>
    </xf>
    <xf numFmtId="43" fontId="10" fillId="35" borderId="25" xfId="75" applyNumberFormat="1" applyFont="1" applyFill="1" applyBorder="1" applyAlignment="1">
      <alignment horizontal="center"/>
    </xf>
    <xf numFmtId="0" fontId="10" fillId="0" borderId="49" xfId="57" applyFont="1" applyFill="1" applyBorder="1" applyAlignment="1">
      <alignment horizontal="center"/>
      <protection/>
    </xf>
    <xf numFmtId="185" fontId="4" fillId="0" borderId="40" xfId="75" applyFont="1" applyFill="1" applyBorder="1" applyAlignment="1">
      <alignment horizontal="center"/>
    </xf>
    <xf numFmtId="185" fontId="4" fillId="0" borderId="41" xfId="75" applyFont="1" applyFill="1" applyBorder="1" applyAlignment="1">
      <alignment/>
    </xf>
    <xf numFmtId="2" fontId="10" fillId="35" borderId="27" xfId="0" applyNumberFormat="1" applyFont="1" applyFill="1" applyBorder="1" applyAlignment="1">
      <alignment horizontal="center" vertical="center"/>
    </xf>
    <xf numFmtId="200" fontId="0" fillId="0" borderId="55" xfId="0" applyNumberFormat="1" applyFill="1" applyBorder="1" applyAlignment="1">
      <alignment horizontal="center" vertical="center"/>
    </xf>
    <xf numFmtId="185" fontId="0" fillId="35" borderId="10" xfId="0" applyNumberFormat="1" applyFont="1" applyFill="1" applyBorder="1" applyAlignment="1">
      <alignment/>
    </xf>
    <xf numFmtId="2" fontId="10" fillId="0" borderId="44" xfId="0" applyNumberFormat="1" applyFont="1" applyFill="1" applyBorder="1" applyAlignment="1">
      <alignment horizontal="center" vertical="center"/>
    </xf>
    <xf numFmtId="2" fontId="10" fillId="0" borderId="55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2" fontId="91" fillId="0" borderId="56" xfId="0" applyNumberFormat="1" applyFont="1" applyFill="1" applyBorder="1" applyAlignment="1">
      <alignment horizontal="center" vertical="center"/>
    </xf>
    <xf numFmtId="0" fontId="67" fillId="0" borderId="0" xfId="55" applyBorder="1">
      <alignment/>
      <protection/>
    </xf>
    <xf numFmtId="0" fontId="10" fillId="0" borderId="0" xfId="55" applyFont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185" fontId="10" fillId="0" borderId="0" xfId="73" applyFont="1" applyFill="1" applyBorder="1" applyAlignment="1">
      <alignment vertical="center"/>
    </xf>
    <xf numFmtId="2" fontId="1" fillId="38" borderId="37" xfId="0" applyNumberFormat="1" applyFont="1" applyFill="1" applyBorder="1" applyAlignment="1">
      <alignment horizontal="center" vertical="center"/>
    </xf>
    <xf numFmtId="2" fontId="1" fillId="38" borderId="19" xfId="0" applyNumberFormat="1" applyFont="1" applyFill="1" applyBorder="1" applyAlignment="1">
      <alignment horizontal="center" vertical="center"/>
    </xf>
    <xf numFmtId="2" fontId="1" fillId="38" borderId="14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185" fontId="94" fillId="0" borderId="41" xfId="75" applyFont="1" applyFill="1" applyBorder="1" applyAlignment="1">
      <alignment/>
    </xf>
    <xf numFmtId="185" fontId="94" fillId="0" borderId="10" xfId="75" applyFont="1" applyFill="1" applyBorder="1" applyAlignment="1">
      <alignment/>
    </xf>
    <xf numFmtId="185" fontId="94" fillId="0" borderId="53" xfId="75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/>
      <protection/>
    </xf>
    <xf numFmtId="185" fontId="10" fillId="37" borderId="0" xfId="75" applyFont="1" applyFill="1" applyBorder="1" applyAlignment="1">
      <alignment horizontal="center"/>
    </xf>
    <xf numFmtId="0" fontId="95" fillId="39" borderId="0" xfId="0" applyFont="1" applyFill="1" applyAlignment="1">
      <alignment horizontal="center"/>
    </xf>
    <xf numFmtId="185" fontId="4" fillId="0" borderId="10" xfId="75" applyFont="1" applyFill="1" applyBorder="1" applyAlignment="1">
      <alignment horizontal="center"/>
    </xf>
    <xf numFmtId="185" fontId="94" fillId="0" borderId="10" xfId="75" applyFont="1" applyFill="1" applyBorder="1" applyAlignment="1">
      <alignment horizontal="center"/>
    </xf>
    <xf numFmtId="185" fontId="4" fillId="0" borderId="41" xfId="75" applyFont="1" applyFill="1" applyBorder="1" applyAlignment="1">
      <alignment horizontal="center"/>
    </xf>
    <xf numFmtId="185" fontId="4" fillId="0" borderId="53" xfId="75" applyFont="1" applyFill="1" applyBorder="1" applyAlignment="1">
      <alignment horizontal="center"/>
    </xf>
    <xf numFmtId="185" fontId="94" fillId="0" borderId="53" xfId="75" applyFont="1" applyFill="1" applyBorder="1" applyAlignment="1">
      <alignment horizontal="center"/>
    </xf>
    <xf numFmtId="185" fontId="4" fillId="0" borderId="57" xfId="75" applyFont="1" applyFill="1" applyBorder="1" applyAlignment="1">
      <alignment horizontal="center"/>
    </xf>
    <xf numFmtId="185" fontId="94" fillId="0" borderId="57" xfId="75" applyFont="1" applyFill="1" applyBorder="1" applyAlignment="1">
      <alignment horizontal="center"/>
    </xf>
    <xf numFmtId="185" fontId="94" fillId="0" borderId="41" xfId="75" applyFont="1" applyFill="1" applyBorder="1" applyAlignment="1">
      <alignment horizontal="center"/>
    </xf>
    <xf numFmtId="0" fontId="96" fillId="37" borderId="0" xfId="0" applyFont="1" applyFill="1" applyBorder="1" applyAlignment="1">
      <alignment/>
    </xf>
    <xf numFmtId="0" fontId="97" fillId="37" borderId="0" xfId="0" applyFont="1" applyFill="1" applyBorder="1" applyAlignment="1">
      <alignment/>
    </xf>
    <xf numFmtId="2" fontId="10" fillId="0" borderId="58" xfId="0" applyNumberFormat="1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185" fontId="91" fillId="35" borderId="27" xfId="73" applyFont="1" applyFill="1" applyBorder="1" applyAlignment="1">
      <alignment vertical="center"/>
    </xf>
    <xf numFmtId="185" fontId="91" fillId="0" borderId="53" xfId="73" applyFont="1" applyFill="1" applyBorder="1" applyAlignment="1">
      <alignment/>
    </xf>
    <xf numFmtId="2" fontId="91" fillId="0" borderId="59" xfId="0" applyNumberFormat="1" applyFont="1" applyBorder="1" applyAlignment="1">
      <alignment horizontal="center" vertical="center"/>
    </xf>
    <xf numFmtId="0" fontId="91" fillId="0" borderId="55" xfId="0" applyFont="1" applyFill="1" applyBorder="1" applyAlignment="1">
      <alignment horizontal="center" vertical="center"/>
    </xf>
    <xf numFmtId="185" fontId="9" fillId="0" borderId="27" xfId="73" applyFont="1" applyFill="1" applyBorder="1" applyAlignment="1">
      <alignment vertical="center"/>
    </xf>
    <xf numFmtId="0" fontId="1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49" fontId="85" fillId="0" borderId="0" xfId="55" applyNumberFormat="1" applyFont="1" applyBorder="1" applyAlignment="1">
      <alignment horizontal="center" vertical="center"/>
      <protection/>
    </xf>
    <xf numFmtId="4" fontId="67" fillId="0" borderId="0" xfId="55" applyNumberFormat="1" applyBorder="1" applyAlignment="1">
      <alignment horizontal="center" vertical="center"/>
      <protection/>
    </xf>
    <xf numFmtId="4" fontId="98" fillId="0" borderId="0" xfId="55" applyNumberFormat="1" applyFont="1" applyBorder="1" applyAlignment="1">
      <alignment horizontal="center" vertical="center"/>
      <protection/>
    </xf>
    <xf numFmtId="4" fontId="99" fillId="0" borderId="0" xfId="55" applyNumberFormat="1" applyFont="1" applyBorder="1" applyAlignment="1">
      <alignment horizontal="center" vertical="center"/>
      <protection/>
    </xf>
    <xf numFmtId="0" fontId="54" fillId="0" borderId="60" xfId="55" applyFont="1" applyFill="1" applyBorder="1" applyAlignment="1">
      <alignment vertical="center"/>
      <protection/>
    </xf>
    <xf numFmtId="185" fontId="22" fillId="35" borderId="61" xfId="55" applyNumberFormat="1" applyFont="1" applyFill="1" applyBorder="1" applyAlignment="1">
      <alignment horizontal="center" vertical="center"/>
      <protection/>
    </xf>
    <xf numFmtId="14" fontId="10" fillId="34" borderId="0" xfId="55" applyNumberFormat="1" applyFont="1" applyFill="1" applyBorder="1" applyAlignment="1">
      <alignment horizontal="center" vertical="center"/>
      <protection/>
    </xf>
    <xf numFmtId="2" fontId="1" fillId="38" borderId="59" xfId="0" applyNumberFormat="1" applyFont="1" applyFill="1" applyBorder="1" applyAlignment="1">
      <alignment horizontal="center" vertical="center"/>
    </xf>
    <xf numFmtId="2" fontId="1" fillId="38" borderId="33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Border="1" applyAlignment="1">
      <alignment horizontal="left"/>
    </xf>
    <xf numFmtId="185" fontId="0" fillId="0" borderId="10" xfId="73" applyFont="1" applyFill="1" applyBorder="1" applyAlignment="1">
      <alignment horizontal="right"/>
    </xf>
    <xf numFmtId="185" fontId="0" fillId="0" borderId="11" xfId="73" applyFont="1" applyFill="1" applyBorder="1" applyAlignment="1">
      <alignment/>
    </xf>
    <xf numFmtId="185" fontId="0" fillId="0" borderId="12" xfId="73" applyFont="1" applyFill="1" applyBorder="1" applyAlignment="1">
      <alignment horizontal="center"/>
    </xf>
    <xf numFmtId="0" fontId="1" fillId="40" borderId="30" xfId="0" applyFont="1" applyFill="1" applyBorder="1" applyAlignment="1">
      <alignment horizontal="center" vertical="center"/>
    </xf>
    <xf numFmtId="4" fontId="67" fillId="0" borderId="14" xfId="55" applyNumberFormat="1" applyBorder="1" applyAlignment="1">
      <alignment horizontal="center" vertical="center"/>
      <protection/>
    </xf>
    <xf numFmtId="185" fontId="1" fillId="37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85" fontId="1" fillId="35" borderId="0" xfId="0" applyNumberFormat="1" applyFont="1" applyFill="1" applyBorder="1" applyAlignment="1">
      <alignment horizontal="center" vertical="center"/>
    </xf>
    <xf numFmtId="185" fontId="1" fillId="0" borderId="0" xfId="73" applyFont="1" applyFill="1" applyBorder="1" applyAlignment="1">
      <alignment vertical="center"/>
    </xf>
    <xf numFmtId="185" fontId="1" fillId="37" borderId="0" xfId="73" applyFont="1" applyFill="1" applyBorder="1" applyAlignment="1">
      <alignment vertical="center"/>
    </xf>
    <xf numFmtId="185" fontId="1" fillId="37" borderId="0" xfId="73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right" vertical="center"/>
    </xf>
    <xf numFmtId="185" fontId="1" fillId="37" borderId="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185" fontId="7" fillId="37" borderId="0" xfId="0" applyNumberFormat="1" applyFont="1" applyFill="1" applyBorder="1" applyAlignment="1">
      <alignment horizontal="center" vertical="center"/>
    </xf>
    <xf numFmtId="43" fontId="19" fillId="35" borderId="27" xfId="0" applyNumberFormat="1" applyFont="1" applyFill="1" applyBorder="1" applyAlignment="1">
      <alignment horizontal="center" vertical="center"/>
    </xf>
    <xf numFmtId="0" fontId="10" fillId="0" borderId="15" xfId="57" applyFont="1" applyFill="1" applyBorder="1" applyAlignment="1">
      <alignment horizontal="center" vertical="center"/>
      <protection/>
    </xf>
    <xf numFmtId="2" fontId="91" fillId="35" borderId="27" xfId="0" applyNumberFormat="1" applyFont="1" applyFill="1" applyBorder="1" applyAlignment="1">
      <alignment horizontal="center" vertical="center"/>
    </xf>
    <xf numFmtId="0" fontId="11" fillId="34" borderId="0" xfId="55" applyFont="1" applyFill="1" applyBorder="1" applyAlignment="1">
      <alignment vertical="center" wrapText="1"/>
      <protection/>
    </xf>
    <xf numFmtId="185" fontId="4" fillId="0" borderId="57" xfId="75" applyFont="1" applyFill="1" applyBorder="1" applyAlignment="1">
      <alignment/>
    </xf>
    <xf numFmtId="0" fontId="17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2" fontId="91" fillId="0" borderId="21" xfId="0" applyNumberFormat="1" applyFont="1" applyBorder="1" applyAlignment="1">
      <alignment horizontal="center" vertical="center"/>
    </xf>
    <xf numFmtId="0" fontId="91" fillId="0" borderId="65" xfId="0" applyFont="1" applyFill="1" applyBorder="1" applyAlignment="1">
      <alignment horizontal="center" vertical="center"/>
    </xf>
    <xf numFmtId="0" fontId="9" fillId="8" borderId="37" xfId="0" applyNumberFormat="1" applyFont="1" applyFill="1" applyBorder="1" applyAlignment="1">
      <alignment horizontal="center" vertical="center"/>
    </xf>
    <xf numFmtId="0" fontId="10" fillId="0" borderId="40" xfId="57" applyFont="1" applyFill="1" applyBorder="1" applyAlignment="1">
      <alignment horizontal="center" vertical="center"/>
      <protection/>
    </xf>
    <xf numFmtId="185" fontId="94" fillId="0" borderId="42" xfId="75" applyFont="1" applyFill="1" applyBorder="1" applyAlignment="1">
      <alignment/>
    </xf>
    <xf numFmtId="185" fontId="94" fillId="0" borderId="14" xfId="75" applyFont="1" applyFill="1" applyBorder="1" applyAlignment="1">
      <alignment/>
    </xf>
    <xf numFmtId="185" fontId="4" fillId="0" borderId="42" xfId="75" applyFont="1" applyFill="1" applyBorder="1" applyAlignment="1">
      <alignment/>
    </xf>
    <xf numFmtId="185" fontId="4" fillId="0" borderId="42" xfId="75" applyFont="1" applyFill="1" applyBorder="1" applyAlignment="1">
      <alignment horizontal="center"/>
    </xf>
    <xf numFmtId="185" fontId="94" fillId="0" borderId="42" xfId="75" applyFont="1" applyFill="1" applyBorder="1" applyAlignment="1">
      <alignment horizontal="center"/>
    </xf>
    <xf numFmtId="185" fontId="94" fillId="0" borderId="18" xfId="75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10" fillId="0" borderId="19" xfId="57" applyFont="1" applyFill="1" applyBorder="1" applyAlignment="1">
      <alignment horizontal="center" vertical="center"/>
      <protection/>
    </xf>
    <xf numFmtId="185" fontId="4" fillId="0" borderId="66" xfId="75" applyFont="1" applyFill="1" applyBorder="1" applyAlignment="1">
      <alignment/>
    </xf>
    <xf numFmtId="2" fontId="91" fillId="0" borderId="67" xfId="0" applyNumberFormat="1" applyFont="1" applyFill="1" applyBorder="1" applyAlignment="1">
      <alignment horizontal="center" vertical="center"/>
    </xf>
    <xf numFmtId="2" fontId="91" fillId="0" borderId="57" xfId="0" applyNumberFormat="1" applyFont="1" applyFill="1" applyBorder="1" applyAlignment="1">
      <alignment horizontal="center" vertical="center"/>
    </xf>
    <xf numFmtId="2" fontId="91" fillId="0" borderId="57" xfId="0" applyNumberFormat="1" applyFont="1" applyBorder="1" applyAlignment="1">
      <alignment horizontal="center" vertical="center"/>
    </xf>
    <xf numFmtId="2" fontId="91" fillId="0" borderId="68" xfId="0" applyNumberFormat="1" applyFont="1" applyBorder="1" applyAlignment="1">
      <alignment horizontal="center" vertical="center"/>
    </xf>
    <xf numFmtId="185" fontId="91" fillId="0" borderId="69" xfId="73" applyFont="1" applyFill="1" applyBorder="1" applyAlignment="1">
      <alignment vertical="center"/>
    </xf>
    <xf numFmtId="2" fontId="91" fillId="0" borderId="70" xfId="0" applyNumberFormat="1" applyFont="1" applyBorder="1" applyAlignment="1">
      <alignment horizontal="center" vertical="center"/>
    </xf>
    <xf numFmtId="2" fontId="91" fillId="0" borderId="53" xfId="0" applyNumberFormat="1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2" fontId="10" fillId="0" borderId="71" xfId="0" applyNumberFormat="1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0" fontId="91" fillId="0" borderId="72" xfId="0" applyFont="1" applyFill="1" applyBorder="1" applyAlignment="1">
      <alignment horizontal="center" vertical="center"/>
    </xf>
    <xf numFmtId="185" fontId="91" fillId="37" borderId="54" xfId="73" applyFont="1" applyFill="1" applyBorder="1" applyAlignment="1">
      <alignment vertical="center"/>
    </xf>
    <xf numFmtId="2" fontId="91" fillId="0" borderId="22" xfId="0" applyNumberFormat="1" applyFont="1" applyBorder="1" applyAlignment="1">
      <alignment horizontal="center" vertical="center"/>
    </xf>
    <xf numFmtId="2" fontId="91" fillId="0" borderId="67" xfId="0" applyNumberFormat="1" applyFont="1" applyBorder="1" applyAlignment="1">
      <alignment horizontal="center" vertical="center"/>
    </xf>
    <xf numFmtId="185" fontId="91" fillId="0" borderId="48" xfId="73" applyFont="1" applyFill="1" applyBorder="1" applyAlignment="1">
      <alignment/>
    </xf>
    <xf numFmtId="0" fontId="91" fillId="0" borderId="40" xfId="0" applyFont="1" applyFill="1" applyBorder="1" applyAlignment="1">
      <alignment horizontal="center" vertical="center"/>
    </xf>
    <xf numFmtId="185" fontId="91" fillId="0" borderId="73" xfId="73" applyFont="1" applyFill="1" applyBorder="1" applyAlignment="1">
      <alignment vertical="center"/>
    </xf>
    <xf numFmtId="185" fontId="91" fillId="0" borderId="43" xfId="73" applyFont="1" applyFill="1" applyBorder="1" applyAlignment="1">
      <alignment vertical="center"/>
    </xf>
    <xf numFmtId="2" fontId="91" fillId="0" borderId="69" xfId="0" applyNumberFormat="1" applyFont="1" applyFill="1" applyBorder="1" applyAlignment="1">
      <alignment horizontal="center" vertical="center" wrapText="1"/>
    </xf>
    <xf numFmtId="185" fontId="10" fillId="0" borderId="43" xfId="73" applyFont="1" applyFill="1" applyBorder="1" applyAlignment="1">
      <alignment horizontal="center" vertical="center"/>
    </xf>
    <xf numFmtId="185" fontId="91" fillId="0" borderId="32" xfId="73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91" fillId="0" borderId="32" xfId="0" applyFont="1" applyBorder="1" applyAlignment="1">
      <alignment/>
    </xf>
    <xf numFmtId="0" fontId="91" fillId="0" borderId="3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56" xfId="0" applyFont="1" applyBorder="1" applyAlignment="1">
      <alignment horizontal="right"/>
    </xf>
    <xf numFmtId="185" fontId="91" fillId="0" borderId="74" xfId="73" applyFont="1" applyFill="1" applyBorder="1" applyAlignment="1">
      <alignment vertical="center"/>
    </xf>
    <xf numFmtId="185" fontId="10" fillId="0" borderId="43" xfId="73" applyFont="1" applyFill="1" applyBorder="1" applyAlignment="1">
      <alignment horizontal="center"/>
    </xf>
    <xf numFmtId="185" fontId="91" fillId="0" borderId="32" xfId="73" applyFont="1" applyFill="1" applyBorder="1" applyAlignment="1">
      <alignment horizontal="center" vertical="center"/>
    </xf>
    <xf numFmtId="185" fontId="91" fillId="37" borderId="32" xfId="73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2" fontId="91" fillId="0" borderId="54" xfId="0" applyNumberFormat="1" applyFont="1" applyFill="1" applyBorder="1" applyAlignment="1">
      <alignment horizontal="center" vertical="center"/>
    </xf>
    <xf numFmtId="0" fontId="4" fillId="0" borderId="49" xfId="57" applyFont="1" applyBorder="1">
      <alignment/>
      <protection/>
    </xf>
    <xf numFmtId="0" fontId="8" fillId="35" borderId="0" xfId="0" applyFont="1" applyFill="1" applyBorder="1" applyAlignment="1">
      <alignment vertical="center"/>
    </xf>
    <xf numFmtId="2" fontId="10" fillId="37" borderId="0" xfId="0" applyNumberFormat="1" applyFont="1" applyFill="1" applyBorder="1" applyAlignment="1">
      <alignment horizontal="center" vertical="center"/>
    </xf>
    <xf numFmtId="4" fontId="55" fillId="0" borderId="41" xfId="0" applyNumberFormat="1" applyFont="1" applyFill="1" applyBorder="1" applyAlignment="1">
      <alignment horizontal="center" vertical="center"/>
    </xf>
    <xf numFmtId="2" fontId="10" fillId="37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55" fillId="0" borderId="55" xfId="0" applyNumberFormat="1" applyFont="1" applyFill="1" applyBorder="1" applyAlignment="1">
      <alignment horizontal="center" vertical="center"/>
    </xf>
    <xf numFmtId="2" fontId="10" fillId="35" borderId="53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185" fontId="1" fillId="8" borderId="21" xfId="73" applyFont="1" applyFill="1" applyBorder="1" applyAlignment="1">
      <alignment horizontal="center" vertical="center"/>
    </xf>
    <xf numFmtId="185" fontId="1" fillId="8" borderId="10" xfId="73" applyFont="1" applyFill="1" applyBorder="1" applyAlignment="1">
      <alignment horizontal="center" vertical="center"/>
    </xf>
    <xf numFmtId="185" fontId="1" fillId="36" borderId="21" xfId="73" applyFont="1" applyFill="1" applyBorder="1" applyAlignment="1">
      <alignment horizontal="center" vertical="center"/>
    </xf>
    <xf numFmtId="185" fontId="1" fillId="36" borderId="10" xfId="73" applyFont="1" applyFill="1" applyBorder="1" applyAlignment="1">
      <alignment horizontal="center" vertical="center"/>
    </xf>
    <xf numFmtId="2" fontId="40" fillId="0" borderId="36" xfId="0" applyNumberFormat="1" applyFont="1" applyFill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/>
    </xf>
    <xf numFmtId="2" fontId="1" fillId="0" borderId="41" xfId="73" applyNumberFormat="1" applyFont="1" applyFill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  <xf numFmtId="2" fontId="1" fillId="0" borderId="10" xfId="73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1" fillId="0" borderId="55" xfId="73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85" fontId="1" fillId="37" borderId="19" xfId="73" applyFont="1" applyFill="1" applyBorder="1" applyAlignment="1">
      <alignment/>
    </xf>
    <xf numFmtId="185" fontId="1" fillId="37" borderId="14" xfId="73" applyFont="1" applyFill="1" applyBorder="1" applyAlignment="1">
      <alignment/>
    </xf>
    <xf numFmtId="185" fontId="1" fillId="37" borderId="74" xfId="73" applyFont="1" applyFill="1" applyBorder="1" applyAlignment="1">
      <alignment/>
    </xf>
    <xf numFmtId="185" fontId="0" fillId="0" borderId="57" xfId="73" applyFont="1" applyFill="1" applyBorder="1" applyAlignment="1">
      <alignment horizontal="right"/>
    </xf>
    <xf numFmtId="43" fontId="1" fillId="35" borderId="27" xfId="0" applyNumberFormat="1" applyFont="1" applyFill="1" applyBorder="1" applyAlignment="1">
      <alignment/>
    </xf>
    <xf numFmtId="0" fontId="67" fillId="0" borderId="0" xfId="56" applyBorder="1">
      <alignment/>
      <protection/>
    </xf>
    <xf numFmtId="49" fontId="100" fillId="0" borderId="0" xfId="55" applyNumberFormat="1" applyFont="1" applyBorder="1" applyAlignment="1">
      <alignment horizontal="left" vertical="center"/>
      <protection/>
    </xf>
    <xf numFmtId="0" fontId="0" fillId="0" borderId="49" xfId="0" applyFont="1" applyFill="1" applyBorder="1" applyAlignment="1">
      <alignment/>
    </xf>
    <xf numFmtId="2" fontId="93" fillId="35" borderId="23" xfId="0" applyNumberFormat="1" applyFont="1" applyFill="1" applyBorder="1" applyAlignment="1">
      <alignment horizontal="center" vertical="center"/>
    </xf>
    <xf numFmtId="2" fontId="93" fillId="35" borderId="24" xfId="0" applyNumberFormat="1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 wrapText="1"/>
    </xf>
    <xf numFmtId="0" fontId="1" fillId="11" borderId="75" xfId="0" applyFont="1" applyFill="1" applyBorder="1" applyAlignment="1">
      <alignment horizontal="center" vertical="center" wrapText="1"/>
    </xf>
    <xf numFmtId="0" fontId="1" fillId="13" borderId="36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90" fillId="8" borderId="76" xfId="0" applyFont="1" applyFill="1" applyBorder="1" applyAlignment="1">
      <alignment horizontal="center" vertical="center" wrapText="1"/>
    </xf>
    <xf numFmtId="0" fontId="90" fillId="8" borderId="77" xfId="0" applyFont="1" applyFill="1" applyBorder="1" applyAlignment="1">
      <alignment horizontal="center" vertical="center" wrapText="1"/>
    </xf>
    <xf numFmtId="0" fontId="90" fillId="8" borderId="66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90" fillId="36" borderId="34" xfId="0" applyFont="1" applyFill="1" applyBorder="1" applyAlignment="1">
      <alignment horizontal="center" vertical="center" wrapText="1"/>
    </xf>
    <xf numFmtId="0" fontId="90" fillId="36" borderId="35" xfId="0" applyFont="1" applyFill="1" applyBorder="1" applyAlignment="1">
      <alignment horizontal="center" vertical="center" wrapText="1"/>
    </xf>
    <xf numFmtId="0" fontId="90" fillId="36" borderId="36" xfId="0" applyFont="1" applyFill="1" applyBorder="1" applyAlignment="1">
      <alignment horizontal="center" vertical="center" wrapText="1"/>
    </xf>
    <xf numFmtId="0" fontId="1" fillId="13" borderId="75" xfId="0" applyFont="1" applyFill="1" applyBorder="1" applyAlignment="1">
      <alignment horizontal="center" vertical="center" wrapText="1"/>
    </xf>
    <xf numFmtId="0" fontId="1" fillId="0" borderId="32" xfId="55" applyFont="1" applyBorder="1" applyAlignment="1">
      <alignment horizontal="center" vertical="center"/>
      <protection/>
    </xf>
    <xf numFmtId="2" fontId="57" fillId="0" borderId="35" xfId="0" applyNumberFormat="1" applyFont="1" applyFill="1" applyBorder="1" applyAlignment="1">
      <alignment vertical="center" wrapText="1"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85" fontId="4" fillId="0" borderId="10" xfId="73" applyFont="1" applyFill="1" applyBorder="1" applyAlignment="1">
      <alignment horizontal="center" vertical="center"/>
    </xf>
    <xf numFmtId="185" fontId="4" fillId="0" borderId="10" xfId="73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/>
    </xf>
    <xf numFmtId="43" fontId="10" fillId="0" borderId="14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43" fontId="7" fillId="0" borderId="14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5" fontId="7" fillId="0" borderId="17" xfId="73" applyFont="1" applyFill="1" applyBorder="1" applyAlignment="1">
      <alignment/>
    </xf>
    <xf numFmtId="185" fontId="7" fillId="0" borderId="14" xfId="73" applyFont="1" applyFill="1" applyBorder="1" applyAlignment="1">
      <alignment vertical="center"/>
    </xf>
    <xf numFmtId="185" fontId="4" fillId="0" borderId="17" xfId="73" applyFont="1" applyFill="1" applyBorder="1" applyAlignment="1">
      <alignment/>
    </xf>
    <xf numFmtId="185" fontId="4" fillId="0" borderId="14" xfId="73" applyFont="1" applyFill="1" applyBorder="1" applyAlignment="1">
      <alignment horizontal="center" vertical="center"/>
    </xf>
    <xf numFmtId="2" fontId="40" fillId="35" borderId="27" xfId="0" applyNumberFormat="1" applyFont="1" applyFill="1" applyBorder="1" applyAlignment="1">
      <alignment horizontal="center" vertical="center" wrapText="1"/>
    </xf>
    <xf numFmtId="0" fontId="85" fillId="0" borderId="52" xfId="55" applyFont="1" applyBorder="1" applyAlignment="1">
      <alignment horizontal="center"/>
      <protection/>
    </xf>
    <xf numFmtId="49" fontId="85" fillId="0" borderId="40" xfId="55" applyNumberFormat="1" applyFont="1" applyBorder="1" applyAlignment="1">
      <alignment horizontal="center" vertical="center"/>
      <protection/>
    </xf>
    <xf numFmtId="4" fontId="83" fillId="0" borderId="41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0" fillId="37" borderId="17" xfId="0" applyFill="1" applyBorder="1" applyAlignment="1">
      <alignment/>
    </xf>
    <xf numFmtId="0" fontId="0" fillId="37" borderId="54" xfId="0" applyFill="1" applyBorder="1" applyAlignment="1">
      <alignment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10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4" fontId="67" fillId="0" borderId="0" xfId="56" applyNumberFormat="1" applyBorder="1" applyAlignment="1">
      <alignment horizontal="center" vertical="center"/>
      <protection/>
    </xf>
    <xf numFmtId="4" fontId="67" fillId="0" borderId="0" xfId="56" applyNumberFormat="1" applyFill="1" applyBorder="1" applyAlignment="1">
      <alignment horizontal="center" vertical="center"/>
      <protection/>
    </xf>
    <xf numFmtId="4" fontId="8" fillId="34" borderId="0" xfId="56" applyNumberFormat="1" applyFont="1" applyFill="1" applyBorder="1" applyAlignment="1">
      <alignment horizontal="center" vertical="center"/>
      <protection/>
    </xf>
    <xf numFmtId="0" fontId="1" fillId="0" borderId="78" xfId="56" applyFont="1" applyFill="1" applyBorder="1" applyAlignment="1">
      <alignment horizontal="centerContinuous" vertical="center"/>
      <protection/>
    </xf>
    <xf numFmtId="0" fontId="10" fillId="0" borderId="32" xfId="56" applyFont="1" applyFill="1" applyBorder="1" applyAlignment="1">
      <alignment horizontal="centerContinuous" vertical="center"/>
      <protection/>
    </xf>
    <xf numFmtId="0" fontId="10" fillId="0" borderId="32" xfId="56" applyFont="1" applyBorder="1" applyAlignment="1">
      <alignment horizontal="centerContinuous" vertical="center"/>
      <protection/>
    </xf>
    <xf numFmtId="0" fontId="83" fillId="0" borderId="31" xfId="56" applyFont="1" applyBorder="1" applyAlignment="1">
      <alignment horizontal="centerContinuous" vertical="center"/>
      <protection/>
    </xf>
    <xf numFmtId="0" fontId="1" fillId="0" borderId="28" xfId="55" applyFont="1" applyBorder="1" applyAlignment="1">
      <alignment vertical="center"/>
      <protection/>
    </xf>
    <xf numFmtId="0" fontId="8" fillId="41" borderId="28" xfId="55" applyFont="1" applyFill="1" applyBorder="1" applyAlignment="1">
      <alignment vertical="center"/>
      <protection/>
    </xf>
    <xf numFmtId="0" fontId="1" fillId="37" borderId="32" xfId="55" applyFont="1" applyFill="1" applyBorder="1" applyAlignment="1">
      <alignment vertical="center" wrapText="1"/>
      <protection/>
    </xf>
    <xf numFmtId="0" fontId="1" fillId="37" borderId="49" xfId="55" applyFont="1" applyFill="1" applyBorder="1" applyAlignment="1">
      <alignment vertical="center" wrapText="1"/>
      <protection/>
    </xf>
    <xf numFmtId="0" fontId="1" fillId="35" borderId="49" xfId="55" applyFont="1" applyFill="1" applyBorder="1" applyAlignment="1">
      <alignment vertical="center" wrapText="1"/>
      <protection/>
    </xf>
    <xf numFmtId="0" fontId="10" fillId="0" borderId="56" xfId="55" applyFont="1" applyBorder="1" applyAlignment="1">
      <alignment horizontal="center" vertical="center"/>
      <protection/>
    </xf>
    <xf numFmtId="0" fontId="8" fillId="0" borderId="74" xfId="55" applyFont="1" applyBorder="1" applyAlignment="1">
      <alignment horizontal="center" vertical="center"/>
      <protection/>
    </xf>
    <xf numFmtId="4" fontId="67" fillId="0" borderId="58" xfId="55" applyNumberFormat="1" applyBorder="1" applyAlignment="1">
      <alignment horizontal="center" vertical="center"/>
      <protection/>
    </xf>
    <xf numFmtId="4" fontId="67" fillId="0" borderId="21" xfId="55" applyNumberFormat="1" applyBorder="1" applyAlignment="1">
      <alignment horizontal="center" vertical="center"/>
      <protection/>
    </xf>
    <xf numFmtId="4" fontId="67" fillId="0" borderId="42" xfId="55" applyNumberFormat="1" applyBorder="1" applyAlignment="1">
      <alignment horizontal="center" vertical="center"/>
      <protection/>
    </xf>
    <xf numFmtId="4" fontId="67" fillId="37" borderId="23" xfId="56" applyNumberFormat="1" applyFill="1" applyBorder="1" applyAlignment="1">
      <alignment horizontal="center" vertical="center"/>
      <protection/>
    </xf>
    <xf numFmtId="4" fontId="67" fillId="37" borderId="24" xfId="56" applyNumberFormat="1" applyFill="1" applyBorder="1" applyAlignment="1">
      <alignment horizontal="center" vertical="center"/>
      <protection/>
    </xf>
    <xf numFmtId="4" fontId="67" fillId="37" borderId="79" xfId="56" applyNumberFormat="1" applyFill="1" applyBorder="1" applyAlignment="1">
      <alignment horizontal="center" vertical="center"/>
      <protection/>
    </xf>
    <xf numFmtId="4" fontId="67" fillId="37" borderId="41" xfId="55" applyNumberFormat="1" applyFill="1" applyBorder="1" applyAlignment="1">
      <alignment horizontal="center" vertical="center"/>
      <protection/>
    </xf>
    <xf numFmtId="4" fontId="98" fillId="37" borderId="41" xfId="55" applyNumberFormat="1" applyFont="1" applyFill="1" applyBorder="1" applyAlignment="1">
      <alignment horizontal="center" vertical="center"/>
      <protection/>
    </xf>
    <xf numFmtId="4" fontId="67" fillId="37" borderId="10" xfId="55" applyNumberFormat="1" applyFill="1" applyBorder="1" applyAlignment="1">
      <alignment horizontal="center" vertical="center"/>
      <protection/>
    </xf>
    <xf numFmtId="4" fontId="98" fillId="37" borderId="10" xfId="55" applyNumberFormat="1" applyFont="1" applyFill="1" applyBorder="1" applyAlignment="1">
      <alignment horizontal="center" vertical="center"/>
      <protection/>
    </xf>
    <xf numFmtId="49" fontId="57" fillId="0" borderId="23" xfId="56" applyNumberFormat="1" applyFont="1" applyBorder="1" applyAlignment="1">
      <alignment horizontal="center" vertical="center"/>
      <protection/>
    </xf>
    <xf numFmtId="4" fontId="18" fillId="37" borderId="23" xfId="56" applyNumberFormat="1" applyFont="1" applyFill="1" applyBorder="1" applyAlignment="1">
      <alignment horizontal="center" vertical="center"/>
      <protection/>
    </xf>
    <xf numFmtId="4" fontId="22" fillId="37" borderId="23" xfId="56" applyNumberFormat="1" applyFont="1" applyFill="1" applyBorder="1" applyAlignment="1">
      <alignment horizontal="center" vertical="center"/>
      <protection/>
    </xf>
    <xf numFmtId="49" fontId="57" fillId="0" borderId="24" xfId="56" applyNumberFormat="1" applyFont="1" applyBorder="1" applyAlignment="1">
      <alignment horizontal="center" vertical="center"/>
      <protection/>
    </xf>
    <xf numFmtId="4" fontId="18" fillId="37" borderId="24" xfId="56" applyNumberFormat="1" applyFont="1" applyFill="1" applyBorder="1" applyAlignment="1">
      <alignment horizontal="center" vertical="center"/>
      <protection/>
    </xf>
    <xf numFmtId="4" fontId="22" fillId="37" borderId="24" xfId="56" applyNumberFormat="1" applyFont="1" applyFill="1" applyBorder="1" applyAlignment="1">
      <alignment horizontal="center" vertical="center"/>
      <protection/>
    </xf>
    <xf numFmtId="49" fontId="57" fillId="0" borderId="79" xfId="56" applyNumberFormat="1" applyFont="1" applyBorder="1" applyAlignment="1">
      <alignment horizontal="center" vertical="center"/>
      <protection/>
    </xf>
    <xf numFmtId="4" fontId="18" fillId="37" borderId="79" xfId="56" applyNumberFormat="1" applyFont="1" applyFill="1" applyBorder="1" applyAlignment="1">
      <alignment horizontal="center" vertical="center"/>
      <protection/>
    </xf>
    <xf numFmtId="4" fontId="22" fillId="37" borderId="79" xfId="56" applyNumberFormat="1" applyFont="1" applyFill="1" applyBorder="1" applyAlignment="1">
      <alignment horizontal="center" vertical="center"/>
      <protection/>
    </xf>
    <xf numFmtId="0" fontId="8" fillId="34" borderId="75" xfId="56" applyFont="1" applyFill="1" applyBorder="1" applyAlignment="1">
      <alignment horizontal="center" vertical="center" wrapText="1"/>
      <protection/>
    </xf>
    <xf numFmtId="0" fontId="54" fillId="0" borderId="60" xfId="55" applyFont="1" applyFill="1" applyBorder="1" applyAlignment="1">
      <alignment horizontal="center" vertical="center"/>
      <protection/>
    </xf>
    <xf numFmtId="49" fontId="85" fillId="0" borderId="80" xfId="55" applyNumberFormat="1" applyFont="1" applyBorder="1" applyAlignment="1">
      <alignment horizontal="center" vertical="center"/>
      <protection/>
    </xf>
    <xf numFmtId="4" fontId="67" fillId="37" borderId="49" xfId="55" applyNumberFormat="1" applyFill="1" applyBorder="1" applyAlignment="1">
      <alignment horizontal="center" vertical="center"/>
      <protection/>
    </xf>
    <xf numFmtId="4" fontId="99" fillId="37" borderId="49" xfId="55" applyNumberFormat="1" applyFont="1" applyFill="1" applyBorder="1" applyAlignment="1">
      <alignment horizontal="center" vertical="center"/>
      <protection/>
    </xf>
    <xf numFmtId="4" fontId="67" fillId="0" borderId="74" xfId="55" applyNumberFormat="1" applyBorder="1" applyAlignment="1">
      <alignment horizontal="center" vertical="center"/>
      <protection/>
    </xf>
    <xf numFmtId="4" fontId="67" fillId="0" borderId="41" xfId="55" applyNumberFormat="1" applyBorder="1" applyAlignment="1">
      <alignment horizontal="center" vertical="center"/>
      <protection/>
    </xf>
    <xf numFmtId="4" fontId="98" fillId="0" borderId="41" xfId="55" applyNumberFormat="1" applyFont="1" applyBorder="1" applyAlignment="1">
      <alignment horizontal="center" vertical="center"/>
      <protection/>
    </xf>
    <xf numFmtId="4" fontId="67" fillId="0" borderId="10" xfId="55" applyNumberFormat="1" applyBorder="1" applyAlignment="1">
      <alignment horizontal="center" vertical="center"/>
      <protection/>
    </xf>
    <xf numFmtId="4" fontId="98" fillId="0" borderId="10" xfId="55" applyNumberFormat="1" applyFont="1" applyBorder="1" applyAlignment="1">
      <alignment horizontal="center" vertical="center"/>
      <protection/>
    </xf>
    <xf numFmtId="4" fontId="98" fillId="0" borderId="53" xfId="55" applyNumberFormat="1" applyFont="1" applyBorder="1" applyAlignment="1">
      <alignment horizontal="center" vertical="center"/>
      <protection/>
    </xf>
    <xf numFmtId="0" fontId="83" fillId="8" borderId="28" xfId="55" applyFont="1" applyFill="1" applyBorder="1" applyAlignment="1">
      <alignment/>
      <protection/>
    </xf>
    <xf numFmtId="0" fontId="88" fillId="0" borderId="28" xfId="56" applyFont="1" applyBorder="1" applyAlignment="1">
      <alignment/>
      <protection/>
    </xf>
    <xf numFmtId="4" fontId="67" fillId="37" borderId="14" xfId="55" applyNumberFormat="1" applyFill="1" applyBorder="1" applyAlignment="1">
      <alignment horizontal="center" vertical="center"/>
      <protection/>
    </xf>
    <xf numFmtId="4" fontId="67" fillId="0" borderId="81" xfId="55" applyNumberFormat="1" applyBorder="1" applyAlignment="1">
      <alignment horizontal="center" vertical="center"/>
      <protection/>
    </xf>
    <xf numFmtId="4" fontId="85" fillId="37" borderId="16" xfId="56" applyNumberFormat="1" applyFont="1" applyFill="1" applyBorder="1" applyAlignment="1">
      <alignment horizontal="center"/>
      <protection/>
    </xf>
    <xf numFmtId="4" fontId="85" fillId="37" borderId="15" xfId="56" applyNumberFormat="1" applyFont="1" applyFill="1" applyBorder="1" applyAlignment="1">
      <alignment horizontal="center"/>
      <protection/>
    </xf>
    <xf numFmtId="2" fontId="85" fillId="37" borderId="15" xfId="56" applyNumberFormat="1" applyFont="1" applyFill="1" applyBorder="1" applyAlignment="1" quotePrefix="1">
      <alignment horizontal="center"/>
      <protection/>
    </xf>
    <xf numFmtId="4" fontId="85" fillId="37" borderId="15" xfId="56" applyNumberFormat="1" applyFont="1" applyFill="1" applyBorder="1" applyAlignment="1" quotePrefix="1">
      <alignment horizontal="center"/>
      <protection/>
    </xf>
    <xf numFmtId="0" fontId="8" fillId="37" borderId="19" xfId="56" applyFont="1" applyFill="1" applyBorder="1" applyAlignment="1">
      <alignment horizontal="center" vertical="center"/>
      <protection/>
    </xf>
    <xf numFmtId="4" fontId="85" fillId="37" borderId="17" xfId="56" applyNumberFormat="1" applyFont="1" applyFill="1" applyBorder="1" applyAlignment="1">
      <alignment horizontal="center"/>
      <protection/>
    </xf>
    <xf numFmtId="4" fontId="85" fillId="37" borderId="10" xfId="56" applyNumberFormat="1" applyFont="1" applyFill="1" applyBorder="1" applyAlignment="1">
      <alignment horizontal="center"/>
      <protection/>
    </xf>
    <xf numFmtId="4" fontId="85" fillId="37" borderId="10" xfId="56" applyNumberFormat="1" applyFont="1" applyFill="1" applyBorder="1" applyAlignment="1" quotePrefix="1">
      <alignment horizontal="center"/>
      <protection/>
    </xf>
    <xf numFmtId="4" fontId="85" fillId="37" borderId="14" xfId="56" applyNumberFormat="1" applyFont="1" applyFill="1" applyBorder="1" applyAlignment="1">
      <alignment horizontal="center"/>
      <protection/>
    </xf>
    <xf numFmtId="4" fontId="85" fillId="37" borderId="48" xfId="56" applyNumberFormat="1" applyFont="1" applyFill="1" applyBorder="1" applyAlignment="1">
      <alignment horizontal="center"/>
      <protection/>
    </xf>
    <xf numFmtId="4" fontId="85" fillId="37" borderId="53" xfId="56" applyNumberFormat="1" applyFont="1" applyFill="1" applyBorder="1" applyAlignment="1">
      <alignment horizontal="center"/>
      <protection/>
    </xf>
    <xf numFmtId="4" fontId="85" fillId="37" borderId="53" xfId="56" applyNumberFormat="1" applyFont="1" applyFill="1" applyBorder="1" applyAlignment="1" quotePrefix="1">
      <alignment horizontal="center"/>
      <protection/>
    </xf>
    <xf numFmtId="4" fontId="85" fillId="37" borderId="69" xfId="56" applyNumberFormat="1" applyFont="1" applyFill="1" applyBorder="1" applyAlignment="1">
      <alignment horizontal="center"/>
      <protection/>
    </xf>
    <xf numFmtId="2" fontId="22" fillId="35" borderId="34" xfId="56" applyNumberFormat="1" applyFont="1" applyFill="1" applyBorder="1" applyAlignment="1">
      <alignment horizontal="center" vertical="center"/>
      <protection/>
    </xf>
    <xf numFmtId="2" fontId="22" fillId="35" borderId="35" xfId="56" applyNumberFormat="1" applyFont="1" applyFill="1" applyBorder="1" applyAlignment="1">
      <alignment horizontal="center" vertical="center"/>
      <protection/>
    </xf>
    <xf numFmtId="2" fontId="22" fillId="35" borderId="36" xfId="56" applyNumberFormat="1" applyFont="1" applyFill="1" applyBorder="1" applyAlignment="1">
      <alignment horizontal="center" vertical="center"/>
      <protection/>
    </xf>
    <xf numFmtId="0" fontId="10" fillId="0" borderId="19" xfId="55" applyFont="1" applyBorder="1" applyAlignment="1">
      <alignment horizontal="center" vertical="center"/>
      <protection/>
    </xf>
    <xf numFmtId="0" fontId="8" fillId="0" borderId="69" xfId="55" applyFont="1" applyBorder="1" applyAlignment="1">
      <alignment horizontal="center" vertical="center"/>
      <protection/>
    </xf>
    <xf numFmtId="185" fontId="22" fillId="37" borderId="60" xfId="55" applyNumberFormat="1" applyFont="1" applyFill="1" applyBorder="1" applyAlignment="1">
      <alignment horizontal="center" vertical="center"/>
      <protection/>
    </xf>
    <xf numFmtId="185" fontId="88" fillId="37" borderId="60" xfId="55" applyNumberFormat="1" applyFont="1" applyFill="1" applyBorder="1" applyAlignment="1">
      <alignment horizontal="center" vertical="center"/>
      <protection/>
    </xf>
    <xf numFmtId="185" fontId="22" fillId="37" borderId="62" xfId="55" applyNumberFormat="1" applyFont="1" applyFill="1" applyBorder="1" applyAlignment="1">
      <alignment horizontal="center" vertical="center"/>
      <protection/>
    </xf>
    <xf numFmtId="185" fontId="22" fillId="37" borderId="82" xfId="55" applyNumberFormat="1" applyFont="1" applyFill="1" applyBorder="1" applyAlignment="1">
      <alignment horizontal="center" vertical="center"/>
      <protection/>
    </xf>
    <xf numFmtId="185" fontId="88" fillId="37" borderId="82" xfId="55" applyNumberFormat="1" applyFont="1" applyFill="1" applyBorder="1" applyAlignment="1">
      <alignment horizontal="center" vertical="center"/>
      <protection/>
    </xf>
    <xf numFmtId="185" fontId="88" fillId="37" borderId="63" xfId="55" applyNumberFormat="1" applyFont="1" applyFill="1" applyBorder="1" applyAlignment="1">
      <alignment horizontal="center" vertical="center"/>
      <protection/>
    </xf>
    <xf numFmtId="185" fontId="22" fillId="37" borderId="83" xfId="55" applyNumberFormat="1" applyFont="1" applyFill="1" applyBorder="1" applyAlignment="1">
      <alignment horizontal="center" vertical="center"/>
      <protection/>
    </xf>
    <xf numFmtId="185" fontId="88" fillId="37" borderId="83" xfId="55" applyNumberFormat="1" applyFont="1" applyFill="1" applyBorder="1" applyAlignment="1">
      <alignment horizontal="center" vertical="center"/>
      <protection/>
    </xf>
    <xf numFmtId="185" fontId="88" fillId="37" borderId="84" xfId="55" applyNumberFormat="1" applyFont="1" applyFill="1" applyBorder="1" applyAlignment="1">
      <alignment horizontal="center" vertical="center"/>
      <protection/>
    </xf>
    <xf numFmtId="185" fontId="22" fillId="36" borderId="61" xfId="55" applyNumberFormat="1" applyFont="1" applyFill="1" applyBorder="1" applyAlignment="1">
      <alignment horizontal="center" vertical="center"/>
      <protection/>
    </xf>
    <xf numFmtId="185" fontId="22" fillId="36" borderId="85" xfId="55" applyNumberFormat="1" applyFont="1" applyFill="1" applyBorder="1" applyAlignment="1">
      <alignment horizontal="center" vertical="center"/>
      <protection/>
    </xf>
    <xf numFmtId="185" fontId="22" fillId="37" borderId="63" xfId="55" applyNumberFormat="1" applyFont="1" applyFill="1" applyBorder="1" applyAlignment="1">
      <alignment horizontal="center" vertical="center"/>
      <protection/>
    </xf>
    <xf numFmtId="0" fontId="91" fillId="0" borderId="29" xfId="0" applyFont="1" applyFill="1" applyBorder="1" applyAlignment="1">
      <alignment horizontal="right" vertical="center"/>
    </xf>
    <xf numFmtId="4" fontId="85" fillId="33" borderId="48" xfId="56" applyNumberFormat="1" applyFont="1" applyFill="1" applyBorder="1" applyAlignment="1">
      <alignment horizontal="center"/>
      <protection/>
    </xf>
    <xf numFmtId="4" fontId="85" fillId="33" borderId="53" xfId="56" applyNumberFormat="1" applyFont="1" applyFill="1" applyBorder="1" applyAlignment="1">
      <alignment horizontal="center"/>
      <protection/>
    </xf>
    <xf numFmtId="0" fontId="67" fillId="0" borderId="32" xfId="55" applyBorder="1" applyAlignment="1">
      <alignment/>
      <protection/>
    </xf>
    <xf numFmtId="4" fontId="85" fillId="33" borderId="69" xfId="56" applyNumberFormat="1" applyFont="1" applyFill="1" applyBorder="1" applyAlignment="1">
      <alignment horizontal="center"/>
      <protection/>
    </xf>
    <xf numFmtId="0" fontId="83" fillId="8" borderId="16" xfId="0" applyFont="1" applyFill="1" applyBorder="1" applyAlignment="1">
      <alignment horizontal="center"/>
    </xf>
    <xf numFmtId="0" fontId="83" fillId="8" borderId="15" xfId="0" applyFont="1" applyFill="1" applyBorder="1" applyAlignment="1">
      <alignment horizontal="center"/>
    </xf>
    <xf numFmtId="0" fontId="83" fillId="8" borderId="19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2" fontId="0" fillId="37" borderId="14" xfId="0" applyNumberFormat="1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2" fillId="0" borderId="86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18" fillId="37" borderId="87" xfId="0" applyFont="1" applyFill="1" applyBorder="1" applyAlignment="1">
      <alignment/>
    </xf>
    <xf numFmtId="2" fontId="18" fillId="37" borderId="88" xfId="0" applyNumberFormat="1" applyFont="1" applyFill="1" applyBorder="1" applyAlignment="1">
      <alignment horizontal="center" vertical="center"/>
    </xf>
    <xf numFmtId="43" fontId="4" fillId="0" borderId="0" xfId="0" applyNumberFormat="1" applyFont="1" applyBorder="1" applyAlignment="1">
      <alignment/>
    </xf>
    <xf numFmtId="185" fontId="22" fillId="35" borderId="89" xfId="55" applyNumberFormat="1" applyFont="1" applyFill="1" applyBorder="1" applyAlignment="1">
      <alignment vertical="center"/>
      <protection/>
    </xf>
    <xf numFmtId="185" fontId="22" fillId="35" borderId="90" xfId="55" applyNumberFormat="1" applyFont="1" applyFill="1" applyBorder="1" applyAlignment="1">
      <alignment vertical="center"/>
      <protection/>
    </xf>
    <xf numFmtId="0" fontId="0" fillId="37" borderId="57" xfId="0" applyFont="1" applyFill="1" applyBorder="1" applyAlignment="1">
      <alignment horizontal="center" vertical="center"/>
    </xf>
    <xf numFmtId="2" fontId="0" fillId="37" borderId="18" xfId="0" applyNumberFormat="1" applyFill="1" applyBorder="1" applyAlignment="1">
      <alignment horizontal="center" vertical="center"/>
    </xf>
    <xf numFmtId="2" fontId="18" fillId="37" borderId="53" xfId="0" applyNumberFormat="1" applyFont="1" applyFill="1" applyBorder="1" applyAlignment="1">
      <alignment horizontal="center" vertical="center"/>
    </xf>
    <xf numFmtId="2" fontId="18" fillId="37" borderId="69" xfId="0" applyNumberFormat="1" applyFon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0" fontId="91" fillId="0" borderId="29" xfId="0" applyFont="1" applyFill="1" applyBorder="1" applyAlignment="1">
      <alignment horizontal="right" vertical="center"/>
    </xf>
    <xf numFmtId="185" fontId="0" fillId="0" borderId="17" xfId="73" applyFont="1" applyFill="1" applyBorder="1" applyAlignment="1">
      <alignment/>
    </xf>
    <xf numFmtId="185" fontId="0" fillId="0" borderId="76" xfId="73" applyFont="1" applyFill="1" applyBorder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/>
    </xf>
    <xf numFmtId="43" fontId="1" fillId="0" borderId="19" xfId="0" applyNumberFormat="1" applyFont="1" applyBorder="1" applyAlignment="1">
      <alignment/>
    </xf>
    <xf numFmtId="43" fontId="1" fillId="35" borderId="18" xfId="0" applyNumberFormat="1" applyFont="1" applyFill="1" applyBorder="1" applyAlignment="1">
      <alignment/>
    </xf>
    <xf numFmtId="0" fontId="1" fillId="0" borderId="65" xfId="0" applyFont="1" applyFill="1" applyBorder="1" applyAlignment="1">
      <alignment wrapText="1"/>
    </xf>
    <xf numFmtId="0" fontId="1" fillId="0" borderId="80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91" xfId="0" applyFont="1" applyFill="1" applyBorder="1" applyAlignment="1">
      <alignment vertical="center"/>
    </xf>
    <xf numFmtId="185" fontId="1" fillId="36" borderId="25" xfId="0" applyNumberFormat="1" applyFont="1" applyFill="1" applyBorder="1" applyAlignment="1">
      <alignment horizontal="center"/>
    </xf>
    <xf numFmtId="43" fontId="1" fillId="37" borderId="26" xfId="0" applyNumberFormat="1" applyFont="1" applyFill="1" applyBorder="1" applyAlignment="1">
      <alignment/>
    </xf>
    <xf numFmtId="43" fontId="1" fillId="37" borderId="24" xfId="0" applyNumberFormat="1" applyFont="1" applyFill="1" applyBorder="1" applyAlignment="1">
      <alignment/>
    </xf>
    <xf numFmtId="43" fontId="1" fillId="37" borderId="79" xfId="0" applyNumberFormat="1" applyFont="1" applyFill="1" applyBorder="1" applyAlignment="1">
      <alignment/>
    </xf>
    <xf numFmtId="0" fontId="1" fillId="0" borderId="6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85" fontId="0" fillId="0" borderId="10" xfId="73" applyFont="1" applyFill="1" applyBorder="1" applyAlignment="1">
      <alignment horizontal="center" vertical="center"/>
    </xf>
    <xf numFmtId="2" fontId="91" fillId="0" borderId="19" xfId="0" applyNumberFormat="1" applyFont="1" applyBorder="1" applyAlignment="1">
      <alignment horizontal="center" vertical="center"/>
    </xf>
    <xf numFmtId="2" fontId="91" fillId="0" borderId="66" xfId="0" applyNumberFormat="1" applyFont="1" applyBorder="1" applyAlignment="1">
      <alignment horizontal="center" vertical="center"/>
    </xf>
    <xf numFmtId="185" fontId="91" fillId="0" borderId="38" xfId="73" applyFont="1" applyFill="1" applyBorder="1" applyAlignment="1">
      <alignment vertical="center"/>
    </xf>
    <xf numFmtId="2" fontId="91" fillId="0" borderId="42" xfId="0" applyNumberFormat="1" applyFont="1" applyBorder="1" applyAlignment="1">
      <alignment horizontal="center" vertical="center"/>
    </xf>
    <xf numFmtId="185" fontId="91" fillId="0" borderId="80" xfId="73" applyFont="1" applyFill="1" applyBorder="1" applyAlignment="1">
      <alignment vertical="center"/>
    </xf>
    <xf numFmtId="2" fontId="91" fillId="0" borderId="23" xfId="0" applyNumberFormat="1" applyFont="1" applyBorder="1" applyAlignment="1">
      <alignment horizontal="center" vertical="center"/>
    </xf>
    <xf numFmtId="2" fontId="91" fillId="0" borderId="25" xfId="0" applyNumberFormat="1" applyFont="1" applyBorder="1" applyAlignment="1">
      <alignment horizontal="center" vertical="center"/>
    </xf>
    <xf numFmtId="2" fontId="10" fillId="35" borderId="14" xfId="0" applyNumberFormat="1" applyFont="1" applyFill="1" applyBorder="1" applyAlignment="1">
      <alignment horizontal="center" vertical="center"/>
    </xf>
    <xf numFmtId="2" fontId="10" fillId="0" borderId="54" xfId="0" applyNumberFormat="1" applyFont="1" applyFill="1" applyBorder="1" applyAlignment="1">
      <alignment horizontal="center" vertical="center"/>
    </xf>
    <xf numFmtId="2" fontId="10" fillId="0" borderId="57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0" fillId="35" borderId="18" xfId="0" applyNumberFormat="1" applyFont="1" applyFill="1" applyBorder="1" applyAlignment="1">
      <alignment horizontal="center" vertical="center"/>
    </xf>
    <xf numFmtId="2" fontId="10" fillId="37" borderId="27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185" fontId="4" fillId="0" borderId="53" xfId="73" applyFont="1" applyFill="1" applyBorder="1" applyAlignment="1">
      <alignment horizontal="center" vertical="center"/>
    </xf>
    <xf numFmtId="185" fontId="10" fillId="35" borderId="22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185" fontId="10" fillId="37" borderId="0" xfId="0" applyNumberFormat="1" applyFont="1" applyFill="1" applyBorder="1" applyAlignment="1">
      <alignment horizontal="center" vertical="center"/>
    </xf>
    <xf numFmtId="185" fontId="4" fillId="0" borderId="10" xfId="73" applyFont="1" applyFill="1" applyBorder="1" applyAlignment="1">
      <alignment horizontal="center" vertical="top" wrapText="1"/>
    </xf>
    <xf numFmtId="185" fontId="4" fillId="0" borderId="17" xfId="73" applyFont="1" applyFill="1" applyBorder="1" applyAlignment="1">
      <alignment horizontal="left"/>
    </xf>
    <xf numFmtId="0" fontId="7" fillId="37" borderId="14" xfId="0" applyFont="1" applyFill="1" applyBorder="1" applyAlignment="1">
      <alignment horizontal="center" vertical="center"/>
    </xf>
    <xf numFmtId="185" fontId="7" fillId="37" borderId="92" xfId="73" applyFont="1" applyFill="1" applyBorder="1" applyAlignment="1">
      <alignment vertical="center"/>
    </xf>
    <xf numFmtId="185" fontId="1" fillId="37" borderId="22" xfId="73" applyFont="1" applyFill="1" applyBorder="1" applyAlignment="1">
      <alignment horizontal="center" vertical="center"/>
    </xf>
    <xf numFmtId="185" fontId="7" fillId="37" borderId="18" xfId="73" applyFont="1" applyFill="1" applyBorder="1" applyAlignment="1">
      <alignment horizontal="center" vertical="center"/>
    </xf>
    <xf numFmtId="185" fontId="19" fillId="37" borderId="51" xfId="73" applyFont="1" applyFill="1" applyBorder="1" applyAlignment="1">
      <alignment vertical="center"/>
    </xf>
    <xf numFmtId="185" fontId="1" fillId="37" borderId="21" xfId="73" applyFont="1" applyFill="1" applyBorder="1" applyAlignment="1">
      <alignment horizontal="center" vertical="center"/>
    </xf>
    <xf numFmtId="185" fontId="1" fillId="37" borderId="14" xfId="73" applyFont="1" applyFill="1" applyBorder="1" applyAlignment="1">
      <alignment horizontal="center" vertical="center"/>
    </xf>
    <xf numFmtId="185" fontId="22" fillId="35" borderId="93" xfId="55" applyNumberFormat="1" applyFont="1" applyFill="1" applyBorder="1" applyAlignment="1">
      <alignment horizontal="center" vertical="center"/>
      <protection/>
    </xf>
    <xf numFmtId="185" fontId="22" fillId="35" borderId="94" xfId="55" applyNumberFormat="1" applyFont="1" applyFill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88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2" fontId="7" fillId="42" borderId="14" xfId="0" applyNumberFormat="1" applyFont="1" applyFill="1" applyBorder="1" applyAlignment="1">
      <alignment horizontal="center"/>
    </xf>
    <xf numFmtId="185" fontId="19" fillId="42" borderId="18" xfId="0" applyNumberFormat="1" applyFont="1" applyFill="1" applyBorder="1" applyAlignment="1">
      <alignment horizontal="center" vertical="center"/>
    </xf>
    <xf numFmtId="43" fontId="19" fillId="42" borderId="18" xfId="0" applyNumberFormat="1" applyFont="1" applyFill="1" applyBorder="1" applyAlignment="1">
      <alignment horizontal="center" vertical="center"/>
    </xf>
    <xf numFmtId="2" fontId="83" fillId="0" borderId="37" xfId="47" applyNumberFormat="1" applyFont="1" applyBorder="1" applyAlignment="1">
      <alignment horizontal="center"/>
    </xf>
    <xf numFmtId="4" fontId="18" fillId="35" borderId="23" xfId="55" applyNumberFormat="1" applyFont="1" applyFill="1" applyBorder="1" applyAlignment="1">
      <alignment horizontal="center" vertical="center"/>
      <protection/>
    </xf>
    <xf numFmtId="0" fontId="13" fillId="0" borderId="69" xfId="55" applyFont="1" applyBorder="1" applyAlignment="1">
      <alignment horizontal="center" vertical="center"/>
      <protection/>
    </xf>
    <xf numFmtId="49" fontId="85" fillId="0" borderId="48" xfId="55" applyNumberFormat="1" applyFont="1" applyBorder="1" applyAlignment="1">
      <alignment horizontal="center" vertical="center"/>
      <protection/>
    </xf>
    <xf numFmtId="4" fontId="83" fillId="0" borderId="53" xfId="55" applyNumberFormat="1" applyFont="1" applyBorder="1" applyAlignment="1">
      <alignment horizontal="center" vertical="center"/>
      <protection/>
    </xf>
    <xf numFmtId="2" fontId="83" fillId="0" borderId="95" xfId="47" applyNumberFormat="1" applyFont="1" applyBorder="1" applyAlignment="1">
      <alignment horizontal="center"/>
    </xf>
    <xf numFmtId="4" fontId="18" fillId="35" borderId="96" xfId="55" applyNumberFormat="1" applyFont="1" applyFill="1" applyBorder="1" applyAlignment="1">
      <alignment horizontal="center" vertical="center"/>
      <protection/>
    </xf>
    <xf numFmtId="4" fontId="67" fillId="36" borderId="27" xfId="55" applyNumberFormat="1" applyFont="1" applyFill="1" applyBorder="1" applyAlignment="1">
      <alignment horizontal="center"/>
      <protection/>
    </xf>
    <xf numFmtId="185" fontId="22" fillId="36" borderId="10" xfId="55" applyNumberFormat="1" applyFont="1" applyFill="1" applyBorder="1" applyAlignment="1">
      <alignment horizontal="center" vertical="center"/>
      <protection/>
    </xf>
    <xf numFmtId="185" fontId="22" fillId="36" borderId="41" xfId="55" applyNumberFormat="1" applyFont="1" applyFill="1" applyBorder="1" applyAlignment="1">
      <alignment horizontal="center" vertical="center"/>
      <protection/>
    </xf>
    <xf numFmtId="185" fontId="22" fillId="36" borderId="86" xfId="55" applyNumberFormat="1" applyFont="1" applyFill="1" applyBorder="1" applyAlignment="1">
      <alignment horizontal="center" vertical="center"/>
      <protection/>
    </xf>
    <xf numFmtId="4" fontId="67" fillId="0" borderId="49" xfId="55" applyNumberFormat="1" applyBorder="1" applyAlignment="1">
      <alignment horizontal="center" vertical="center"/>
      <protection/>
    </xf>
    <xf numFmtId="4" fontId="18" fillId="35" borderId="27" xfId="55" applyNumberFormat="1" applyFont="1" applyFill="1" applyBorder="1" applyAlignment="1">
      <alignment horizontal="center" vertical="center"/>
      <protection/>
    </xf>
    <xf numFmtId="0" fontId="101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22" fillId="8" borderId="29" xfId="0" applyFont="1" applyFill="1" applyBorder="1" applyAlignment="1">
      <alignment horizontal="center"/>
    </xf>
    <xf numFmtId="0" fontId="22" fillId="8" borderId="75" xfId="0" applyFont="1" applyFill="1" applyBorder="1" applyAlignment="1">
      <alignment horizontal="center"/>
    </xf>
    <xf numFmtId="0" fontId="1" fillId="0" borderId="92" xfId="0" applyFont="1" applyBorder="1" applyAlignment="1">
      <alignment horizontal="right"/>
    </xf>
    <xf numFmtId="0" fontId="1" fillId="0" borderId="67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83" fillId="16" borderId="29" xfId="0" applyFont="1" applyFill="1" applyBorder="1" applyAlignment="1">
      <alignment horizontal="center"/>
    </xf>
    <xf numFmtId="0" fontId="83" fillId="16" borderId="28" xfId="0" applyFont="1" applyFill="1" applyBorder="1" applyAlignment="1">
      <alignment horizontal="center"/>
    </xf>
    <xf numFmtId="0" fontId="83" fillId="16" borderId="75" xfId="0" applyFont="1" applyFill="1" applyBorder="1" applyAlignment="1">
      <alignment horizontal="center"/>
    </xf>
    <xf numFmtId="0" fontId="0" fillId="37" borderId="29" xfId="0" applyFill="1" applyBorder="1" applyAlignment="1">
      <alignment horizontal="left"/>
    </xf>
    <xf numFmtId="0" fontId="0" fillId="37" borderId="28" xfId="0" applyFill="1" applyBorder="1" applyAlignment="1">
      <alignment horizontal="left"/>
    </xf>
    <xf numFmtId="0" fontId="0" fillId="37" borderId="39" xfId="0" applyFill="1" applyBorder="1" applyAlignment="1">
      <alignment horizontal="left"/>
    </xf>
    <xf numFmtId="0" fontId="83" fillId="4" borderId="29" xfId="0" applyFont="1" applyFill="1" applyBorder="1" applyAlignment="1">
      <alignment horizontal="left"/>
    </xf>
    <xf numFmtId="0" fontId="83" fillId="4" borderId="28" xfId="0" applyFont="1" applyFill="1" applyBorder="1" applyAlignment="1">
      <alignment horizontal="left"/>
    </xf>
    <xf numFmtId="0" fontId="83" fillId="4" borderId="75" xfId="0" applyFont="1" applyFill="1" applyBorder="1" applyAlignment="1">
      <alignment horizontal="left"/>
    </xf>
    <xf numFmtId="0" fontId="22" fillId="8" borderId="16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8" borderId="48" xfId="0" applyFont="1" applyFill="1" applyBorder="1" applyAlignment="1">
      <alignment horizontal="center" vertical="center"/>
    </xf>
    <xf numFmtId="0" fontId="22" fillId="8" borderId="5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8" fillId="34" borderId="29" xfId="56" applyFont="1" applyFill="1" applyBorder="1" applyAlignment="1">
      <alignment horizontal="center" vertical="center" wrapText="1"/>
      <protection/>
    </xf>
    <xf numFmtId="0" fontId="8" fillId="34" borderId="28" xfId="56" applyFont="1" applyFill="1" applyBorder="1" applyAlignment="1">
      <alignment horizontal="center" vertical="center" wrapText="1"/>
      <protection/>
    </xf>
    <xf numFmtId="0" fontId="8" fillId="34" borderId="75" xfId="56" applyFont="1" applyFill="1" applyBorder="1" applyAlignment="1">
      <alignment horizontal="center" vertical="center" wrapText="1"/>
      <protection/>
    </xf>
    <xf numFmtId="0" fontId="1" fillId="0" borderId="29" xfId="56" applyFont="1" applyBorder="1" applyAlignment="1">
      <alignment horizontal="center" vertical="center"/>
      <protection/>
    </xf>
    <xf numFmtId="0" fontId="1" fillId="0" borderId="28" xfId="56" applyFont="1" applyBorder="1" applyAlignment="1">
      <alignment horizontal="center" vertical="center"/>
      <protection/>
    </xf>
    <xf numFmtId="0" fontId="1" fillId="0" borderId="75" xfId="56" applyFont="1" applyBorder="1" applyAlignment="1">
      <alignment horizontal="center" vertical="center"/>
      <protection/>
    </xf>
    <xf numFmtId="0" fontId="1" fillId="0" borderId="78" xfId="56" applyFont="1" applyBorder="1" applyAlignment="1">
      <alignment horizontal="center" vertical="center"/>
      <protection/>
    </xf>
    <xf numFmtId="0" fontId="1" fillId="0" borderId="32" xfId="56" applyFont="1" applyBorder="1" applyAlignment="1">
      <alignment horizontal="center" vertical="center"/>
      <protection/>
    </xf>
    <xf numFmtId="0" fontId="1" fillId="0" borderId="31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4" fontId="67" fillId="0" borderId="0" xfId="56" applyNumberFormat="1" applyBorder="1" applyAlignment="1">
      <alignment horizontal="center" vertical="center"/>
      <protection/>
    </xf>
    <xf numFmtId="0" fontId="8" fillId="37" borderId="78" xfId="56" applyFont="1" applyFill="1" applyBorder="1" applyAlignment="1">
      <alignment horizontal="center" vertical="center"/>
      <protection/>
    </xf>
    <xf numFmtId="0" fontId="8" fillId="37" borderId="32" xfId="56" applyFont="1" applyFill="1" applyBorder="1" applyAlignment="1">
      <alignment horizontal="center" vertical="center"/>
      <protection/>
    </xf>
    <xf numFmtId="0" fontId="8" fillId="37" borderId="31" xfId="56" applyFont="1" applyFill="1" applyBorder="1" applyAlignment="1">
      <alignment horizontal="center" vertical="center"/>
      <protection/>
    </xf>
    <xf numFmtId="0" fontId="8" fillId="37" borderId="80" xfId="56" applyFont="1" applyFill="1" applyBorder="1" applyAlignment="1">
      <alignment horizontal="center" vertical="center"/>
      <protection/>
    </xf>
    <xf numFmtId="0" fontId="8" fillId="37" borderId="49" xfId="56" applyFont="1" applyFill="1" applyBorder="1" applyAlignment="1">
      <alignment horizontal="center" vertical="center"/>
      <protection/>
    </xf>
    <xf numFmtId="0" fontId="8" fillId="37" borderId="74" xfId="56" applyFont="1" applyFill="1" applyBorder="1" applyAlignment="1">
      <alignment horizontal="center" vertical="center"/>
      <protection/>
    </xf>
    <xf numFmtId="4" fontId="8" fillId="34" borderId="0" xfId="56" applyNumberFormat="1" applyFont="1" applyFill="1" applyBorder="1" applyAlignment="1">
      <alignment horizontal="center" vertical="center"/>
      <protection/>
    </xf>
    <xf numFmtId="0" fontId="11" fillId="35" borderId="78" xfId="56" applyFont="1" applyFill="1" applyBorder="1" applyAlignment="1">
      <alignment horizontal="center" vertical="center"/>
      <protection/>
    </xf>
    <xf numFmtId="0" fontId="11" fillId="35" borderId="32" xfId="56" applyFont="1" applyFill="1" applyBorder="1" applyAlignment="1">
      <alignment horizontal="center" vertical="center"/>
      <protection/>
    </xf>
    <xf numFmtId="0" fontId="11" fillId="35" borderId="31" xfId="56" applyFont="1" applyFill="1" applyBorder="1" applyAlignment="1">
      <alignment horizontal="center" vertical="center"/>
      <protection/>
    </xf>
    <xf numFmtId="0" fontId="11" fillId="35" borderId="80" xfId="56" applyFont="1" applyFill="1" applyBorder="1" applyAlignment="1">
      <alignment horizontal="center" vertical="center"/>
      <protection/>
    </xf>
    <xf numFmtId="0" fontId="11" fillId="35" borderId="49" xfId="56" applyFont="1" applyFill="1" applyBorder="1" applyAlignment="1">
      <alignment horizontal="center" vertical="center"/>
      <protection/>
    </xf>
    <xf numFmtId="0" fontId="11" fillId="35" borderId="74" xfId="56" applyFont="1" applyFill="1" applyBorder="1" applyAlignment="1">
      <alignment horizontal="center" vertical="center"/>
      <protection/>
    </xf>
    <xf numFmtId="0" fontId="8" fillId="41" borderId="29" xfId="56" applyFont="1" applyFill="1" applyBorder="1" applyAlignment="1">
      <alignment horizontal="center" vertical="center"/>
      <protection/>
    </xf>
    <xf numFmtId="0" fontId="8" fillId="41" borderId="28" xfId="56" applyFont="1" applyFill="1" applyBorder="1" applyAlignment="1">
      <alignment horizontal="center" vertical="center"/>
      <protection/>
    </xf>
    <xf numFmtId="0" fontId="8" fillId="41" borderId="75" xfId="56" applyFont="1" applyFill="1" applyBorder="1" applyAlignment="1">
      <alignment horizontal="center" vertical="center"/>
      <protection/>
    </xf>
    <xf numFmtId="0" fontId="1" fillId="35" borderId="29" xfId="55" applyFont="1" applyFill="1" applyBorder="1" applyAlignment="1">
      <alignment horizontal="center" vertical="center" wrapText="1"/>
      <protection/>
    </xf>
    <xf numFmtId="0" fontId="1" fillId="35" borderId="28" xfId="55" applyFont="1" applyFill="1" applyBorder="1" applyAlignment="1">
      <alignment horizontal="center" vertical="center" wrapText="1"/>
      <protection/>
    </xf>
    <xf numFmtId="0" fontId="1" fillId="35" borderId="75" xfId="55" applyFont="1" applyFill="1" applyBorder="1" applyAlignment="1">
      <alignment horizontal="center" vertical="center" wrapText="1"/>
      <protection/>
    </xf>
    <xf numFmtId="0" fontId="1" fillId="0" borderId="78" xfId="55" applyFont="1" applyBorder="1" applyAlignment="1">
      <alignment horizontal="center" vertical="center"/>
      <protection/>
    </xf>
    <xf numFmtId="0" fontId="1" fillId="0" borderId="32" xfId="55" applyFont="1" applyBorder="1" applyAlignment="1">
      <alignment horizontal="center" vertical="center"/>
      <protection/>
    </xf>
    <xf numFmtId="0" fontId="1" fillId="0" borderId="31" xfId="55" applyFont="1" applyBorder="1" applyAlignment="1">
      <alignment horizontal="center" vertical="center"/>
      <protection/>
    </xf>
    <xf numFmtId="0" fontId="8" fillId="41" borderId="29" xfId="55" applyFont="1" applyFill="1" applyBorder="1" applyAlignment="1">
      <alignment horizontal="center" vertical="center"/>
      <protection/>
    </xf>
    <xf numFmtId="0" fontId="8" fillId="41" borderId="28" xfId="55" applyFont="1" applyFill="1" applyBorder="1" applyAlignment="1">
      <alignment horizontal="center" vertical="center"/>
      <protection/>
    </xf>
    <xf numFmtId="0" fontId="8" fillId="41" borderId="75" xfId="55" applyFont="1" applyFill="1" applyBorder="1" applyAlignment="1">
      <alignment horizontal="center" vertical="center"/>
      <protection/>
    </xf>
    <xf numFmtId="0" fontId="1" fillId="0" borderId="29" xfId="55" applyFont="1" applyBorder="1" applyAlignment="1">
      <alignment horizontal="center" vertical="center"/>
      <protection/>
    </xf>
    <xf numFmtId="0" fontId="1" fillId="0" borderId="28" xfId="55" applyFont="1" applyBorder="1" applyAlignment="1">
      <alignment horizontal="center" vertical="center"/>
      <protection/>
    </xf>
    <xf numFmtId="0" fontId="1" fillId="0" borderId="75" xfId="55" applyFont="1" applyBorder="1" applyAlignment="1">
      <alignment horizontal="center" vertical="center"/>
      <protection/>
    </xf>
    <xf numFmtId="0" fontId="83" fillId="8" borderId="29" xfId="55" applyFont="1" applyFill="1" applyBorder="1" applyAlignment="1">
      <alignment horizontal="center"/>
      <protection/>
    </xf>
    <xf numFmtId="0" fontId="83" fillId="8" borderId="28" xfId="55" applyFont="1" applyFill="1" applyBorder="1" applyAlignment="1">
      <alignment horizontal="center"/>
      <protection/>
    </xf>
    <xf numFmtId="0" fontId="83" fillId="8" borderId="75" xfId="55" applyFont="1" applyFill="1" applyBorder="1" applyAlignment="1">
      <alignment horizontal="center"/>
      <protection/>
    </xf>
    <xf numFmtId="0" fontId="102" fillId="36" borderId="29" xfId="56" applyFont="1" applyFill="1" applyBorder="1" applyAlignment="1">
      <alignment horizontal="center"/>
      <protection/>
    </xf>
    <xf numFmtId="0" fontId="102" fillId="36" borderId="28" xfId="56" applyFont="1" applyFill="1" applyBorder="1" applyAlignment="1">
      <alignment horizontal="center"/>
      <protection/>
    </xf>
    <xf numFmtId="0" fontId="102" fillId="36" borderId="75" xfId="56" applyFont="1" applyFill="1" applyBorder="1" applyAlignment="1">
      <alignment horizontal="center"/>
      <protection/>
    </xf>
    <xf numFmtId="0" fontId="67" fillId="0" borderId="38" xfId="56" applyBorder="1" applyAlignment="1">
      <alignment horizontal="left"/>
      <protection/>
    </xf>
    <xf numFmtId="0" fontId="67" fillId="0" borderId="45" xfId="56" applyBorder="1" applyAlignment="1">
      <alignment horizontal="left"/>
      <protection/>
    </xf>
    <xf numFmtId="0" fontId="67" fillId="0" borderId="97" xfId="56" applyBorder="1" applyAlignment="1">
      <alignment horizontal="left"/>
      <protection/>
    </xf>
    <xf numFmtId="0" fontId="1" fillId="37" borderId="78" xfId="55" applyFont="1" applyFill="1" applyBorder="1" applyAlignment="1">
      <alignment horizontal="center" vertical="center" wrapText="1"/>
      <protection/>
    </xf>
    <xf numFmtId="0" fontId="1" fillId="37" borderId="32" xfId="55" applyFont="1" applyFill="1" applyBorder="1" applyAlignment="1">
      <alignment horizontal="center" vertical="center" wrapText="1"/>
      <protection/>
    </xf>
    <xf numFmtId="0" fontId="1" fillId="37" borderId="31" xfId="55" applyFont="1" applyFill="1" applyBorder="1" applyAlignment="1">
      <alignment horizontal="center" vertical="center" wrapText="1"/>
      <protection/>
    </xf>
    <xf numFmtId="0" fontId="1" fillId="37" borderId="80" xfId="55" applyFont="1" applyFill="1" applyBorder="1" applyAlignment="1">
      <alignment horizontal="center" vertical="center" wrapText="1"/>
      <protection/>
    </xf>
    <xf numFmtId="0" fontId="1" fillId="37" borderId="49" xfId="55" applyFont="1" applyFill="1" applyBorder="1" applyAlignment="1">
      <alignment horizontal="center" vertical="center" wrapText="1"/>
      <protection/>
    </xf>
    <xf numFmtId="0" fontId="1" fillId="37" borderId="74" xfId="55" applyFont="1" applyFill="1" applyBorder="1" applyAlignment="1">
      <alignment horizontal="center" vertical="center" wrapText="1"/>
      <protection/>
    </xf>
    <xf numFmtId="0" fontId="67" fillId="0" borderId="51" xfId="56" applyBorder="1" applyAlignment="1">
      <alignment horizontal="left"/>
      <protection/>
    </xf>
    <xf numFmtId="0" fontId="67" fillId="0" borderId="98" xfId="56" applyBorder="1" applyAlignment="1">
      <alignment horizontal="left"/>
      <protection/>
    </xf>
    <xf numFmtId="0" fontId="67" fillId="0" borderId="47" xfId="56" applyBorder="1" applyAlignment="1">
      <alignment horizontal="left"/>
      <protection/>
    </xf>
    <xf numFmtId="0" fontId="67" fillId="0" borderId="92" xfId="56" applyBorder="1" applyAlignment="1">
      <alignment horizontal="center"/>
      <protection/>
    </xf>
    <xf numFmtId="0" fontId="67" fillId="0" borderId="67" xfId="56" applyBorder="1" applyAlignment="1">
      <alignment horizontal="center"/>
      <protection/>
    </xf>
    <xf numFmtId="0" fontId="67" fillId="0" borderId="99" xfId="56" applyBorder="1" applyAlignment="1">
      <alignment horizontal="center"/>
      <protection/>
    </xf>
    <xf numFmtId="2" fontId="83" fillId="36" borderId="29" xfId="56" applyNumberFormat="1" applyFont="1" applyFill="1" applyBorder="1" applyAlignment="1">
      <alignment horizontal="center"/>
      <protection/>
    </xf>
    <xf numFmtId="2" fontId="83" fillId="36" borderId="28" xfId="56" applyNumberFormat="1" applyFont="1" applyFill="1" applyBorder="1" applyAlignment="1">
      <alignment horizontal="center"/>
      <protection/>
    </xf>
    <xf numFmtId="2" fontId="83" fillId="36" borderId="75" xfId="56" applyNumberFormat="1" applyFont="1" applyFill="1" applyBorder="1" applyAlignment="1">
      <alignment horizontal="center"/>
      <protection/>
    </xf>
    <xf numFmtId="0" fontId="22" fillId="0" borderId="0" xfId="56" applyFont="1" applyFill="1" applyAlignment="1">
      <alignment horizontal="right" vertical="center" wrapText="1"/>
      <protection/>
    </xf>
    <xf numFmtId="0" fontId="22" fillId="0" borderId="0" xfId="56" applyFont="1" applyFill="1" applyBorder="1" applyAlignment="1">
      <alignment horizontal="right" vertical="center" wrapText="1"/>
      <protection/>
    </xf>
    <xf numFmtId="2" fontId="83" fillId="35" borderId="29" xfId="56" applyNumberFormat="1" applyFont="1" applyFill="1" applyBorder="1" applyAlignment="1">
      <alignment horizontal="center"/>
      <protection/>
    </xf>
    <xf numFmtId="2" fontId="83" fillId="35" borderId="28" xfId="56" applyNumberFormat="1" applyFont="1" applyFill="1" applyBorder="1" applyAlignment="1">
      <alignment horizontal="center"/>
      <protection/>
    </xf>
    <xf numFmtId="2" fontId="83" fillId="35" borderId="75" xfId="56" applyNumberFormat="1" applyFont="1" applyFill="1" applyBorder="1" applyAlignment="1">
      <alignment horizontal="center"/>
      <protection/>
    </xf>
    <xf numFmtId="4" fontId="83" fillId="0" borderId="0" xfId="56" applyNumberFormat="1" applyFont="1" applyAlignment="1">
      <alignment horizontal="right"/>
      <protection/>
    </xf>
    <xf numFmtId="0" fontId="67" fillId="0" borderId="0" xfId="55" applyFill="1" applyBorder="1" applyAlignment="1">
      <alignment horizontal="center"/>
      <protection/>
    </xf>
    <xf numFmtId="0" fontId="57" fillId="34" borderId="100" xfId="55" applyFont="1" applyFill="1" applyBorder="1" applyAlignment="1">
      <alignment horizontal="center" vertical="center" wrapText="1"/>
      <protection/>
    </xf>
    <xf numFmtId="0" fontId="57" fillId="34" borderId="101" xfId="55" applyFont="1" applyFill="1" applyBorder="1" applyAlignment="1">
      <alignment horizontal="center" vertical="center" wrapText="1"/>
      <protection/>
    </xf>
    <xf numFmtId="0" fontId="57" fillId="34" borderId="102" xfId="55" applyFont="1" applyFill="1" applyBorder="1" applyAlignment="1">
      <alignment horizontal="center" vertical="center" wrapText="1"/>
      <protection/>
    </xf>
    <xf numFmtId="0" fontId="60" fillId="0" borderId="103" xfId="55" applyFont="1" applyBorder="1" applyAlignment="1">
      <alignment horizontal="center" vertical="center"/>
      <protection/>
    </xf>
    <xf numFmtId="0" fontId="60" fillId="0" borderId="104" xfId="55" applyFont="1" applyBorder="1" applyAlignment="1">
      <alignment horizontal="center" vertical="center"/>
      <protection/>
    </xf>
    <xf numFmtId="0" fontId="60" fillId="0" borderId="105" xfId="55" applyFont="1" applyBorder="1" applyAlignment="1">
      <alignment horizontal="center" vertical="center"/>
      <protection/>
    </xf>
    <xf numFmtId="0" fontId="60" fillId="0" borderId="60" xfId="55" applyFont="1" applyBorder="1" applyAlignment="1">
      <alignment horizontal="center" vertical="center"/>
      <protection/>
    </xf>
    <xf numFmtId="0" fontId="60" fillId="0" borderId="106" xfId="55" applyFont="1" applyBorder="1" applyAlignment="1">
      <alignment horizontal="center" vertical="center"/>
      <protection/>
    </xf>
    <xf numFmtId="0" fontId="60" fillId="0" borderId="107" xfId="55" applyFont="1" applyBorder="1" applyAlignment="1">
      <alignment horizontal="center" vertical="center"/>
      <protection/>
    </xf>
    <xf numFmtId="0" fontId="60" fillId="0" borderId="108" xfId="55" applyFont="1" applyBorder="1" applyAlignment="1">
      <alignment horizontal="center" vertical="center"/>
      <protection/>
    </xf>
    <xf numFmtId="0" fontId="54" fillId="0" borderId="62" xfId="55" applyFont="1" applyBorder="1" applyAlignment="1">
      <alignment horizontal="center" vertical="center" wrapText="1"/>
      <protection/>
    </xf>
    <xf numFmtId="0" fontId="54" fillId="0" borderId="60" xfId="55" applyFont="1" applyBorder="1" applyAlignment="1">
      <alignment horizontal="center" vertical="center" wrapText="1"/>
      <protection/>
    </xf>
    <xf numFmtId="0" fontId="54" fillId="0" borderId="60" xfId="55" applyFont="1" applyFill="1" applyBorder="1" applyAlignment="1">
      <alignment horizontal="center" vertical="center"/>
      <protection/>
    </xf>
    <xf numFmtId="0" fontId="54" fillId="0" borderId="62" xfId="55" applyFont="1" applyFill="1" applyBorder="1" applyAlignment="1">
      <alignment horizontal="center" vertical="center"/>
      <protection/>
    </xf>
    <xf numFmtId="0" fontId="67" fillId="0" borderId="0" xfId="55" applyAlignment="1">
      <alignment horizontal="center"/>
      <protection/>
    </xf>
    <xf numFmtId="49" fontId="85" fillId="0" borderId="29" xfId="55" applyNumberFormat="1" applyFont="1" applyFill="1" applyBorder="1" applyAlignment="1">
      <alignment horizontal="center" vertical="center"/>
      <protection/>
    </xf>
    <xf numFmtId="49" fontId="85" fillId="0" borderId="75" xfId="55" applyNumberFormat="1" applyFont="1" applyFill="1" applyBorder="1" applyAlignment="1">
      <alignment horizontal="center" vertical="center"/>
      <protection/>
    </xf>
    <xf numFmtId="0" fontId="10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67" fillId="0" borderId="109" xfId="55" applyNumberFormat="1" applyFont="1" applyBorder="1" applyAlignment="1">
      <alignment horizontal="left" vertical="center"/>
      <protection/>
    </xf>
    <xf numFmtId="4" fontId="67" fillId="0" borderId="110" xfId="55" applyNumberFormat="1" applyFont="1" applyBorder="1" applyAlignment="1">
      <alignment horizontal="left" vertical="center"/>
      <protection/>
    </xf>
    <xf numFmtId="4" fontId="67" fillId="0" borderId="111" xfId="55" applyNumberFormat="1" applyFont="1" applyBorder="1" applyAlignment="1">
      <alignment horizontal="left" vertical="center"/>
      <protection/>
    </xf>
    <xf numFmtId="0" fontId="60" fillId="36" borderId="86" xfId="55" applyFont="1" applyFill="1" applyBorder="1" applyAlignment="1">
      <alignment horizontal="center" vertical="center"/>
      <protection/>
    </xf>
    <xf numFmtId="0" fontId="60" fillId="36" borderId="61" xfId="55" applyFont="1" applyFill="1" applyBorder="1" applyAlignment="1">
      <alignment horizontal="center" vertical="center"/>
      <protection/>
    </xf>
    <xf numFmtId="0" fontId="60" fillId="36" borderId="85" xfId="55" applyFont="1" applyFill="1" applyBorder="1" applyAlignment="1">
      <alignment horizontal="center" vertical="center"/>
      <protection/>
    </xf>
    <xf numFmtId="0" fontId="22" fillId="43" borderId="29" xfId="55" applyFont="1" applyFill="1" applyBorder="1" applyAlignment="1">
      <alignment horizontal="center" vertical="center"/>
      <protection/>
    </xf>
    <xf numFmtId="0" fontId="22" fillId="43" borderId="28" xfId="55" applyFont="1" applyFill="1" applyBorder="1" applyAlignment="1">
      <alignment horizontal="center" vertical="center"/>
      <protection/>
    </xf>
    <xf numFmtId="0" fontId="22" fillId="43" borderId="75" xfId="55" applyFont="1" applyFill="1" applyBorder="1" applyAlignment="1">
      <alignment horizontal="center" vertical="center"/>
      <protection/>
    </xf>
    <xf numFmtId="4" fontId="67" fillId="0" borderId="105" xfId="55" applyNumberFormat="1" applyFont="1" applyBorder="1" applyAlignment="1">
      <alignment horizontal="left" vertical="center"/>
      <protection/>
    </xf>
    <xf numFmtId="4" fontId="67" fillId="0" borderId="60" xfId="55" applyNumberFormat="1" applyFont="1" applyBorder="1" applyAlignment="1">
      <alignment horizontal="left" vertical="center"/>
      <protection/>
    </xf>
    <xf numFmtId="4" fontId="67" fillId="0" borderId="112" xfId="55" applyNumberFormat="1" applyFont="1" applyBorder="1" applyAlignment="1">
      <alignment horizontal="left" vertical="center"/>
      <protection/>
    </xf>
    <xf numFmtId="4" fontId="67" fillId="0" borderId="83" xfId="55" applyNumberFormat="1" applyFont="1" applyBorder="1" applyAlignment="1">
      <alignment horizontal="left" vertical="center"/>
      <protection/>
    </xf>
    <xf numFmtId="4" fontId="67" fillId="0" borderId="113" xfId="55" applyNumberFormat="1" applyFont="1" applyBorder="1" applyAlignment="1">
      <alignment horizontal="left" vertical="center"/>
      <protection/>
    </xf>
    <xf numFmtId="4" fontId="67" fillId="0" borderId="114" xfId="55" applyNumberFormat="1" applyFont="1" applyBorder="1" applyAlignment="1">
      <alignment horizontal="left" vertical="center"/>
      <protection/>
    </xf>
    <xf numFmtId="4" fontId="67" fillId="0" borderId="115" xfId="55" applyNumberFormat="1" applyFont="1" applyBorder="1" applyAlignment="1">
      <alignment horizontal="left" vertical="center"/>
      <protection/>
    </xf>
    <xf numFmtId="4" fontId="67" fillId="0" borderId="116" xfId="55" applyNumberFormat="1" applyFont="1" applyBorder="1" applyAlignment="1">
      <alignment horizontal="left" vertical="center"/>
      <protection/>
    </xf>
    <xf numFmtId="4" fontId="67" fillId="0" borderId="117" xfId="55" applyNumberFormat="1" applyFont="1" applyBorder="1" applyAlignment="1">
      <alignment horizontal="left" vertical="center"/>
      <protection/>
    </xf>
    <xf numFmtId="0" fontId="60" fillId="35" borderId="78" xfId="55" applyFont="1" applyFill="1" applyBorder="1" applyAlignment="1">
      <alignment horizontal="center" vertical="center"/>
      <protection/>
    </xf>
    <xf numFmtId="0" fontId="60" fillId="35" borderId="32" xfId="55" applyFont="1" applyFill="1" applyBorder="1" applyAlignment="1">
      <alignment horizontal="center" vertical="center"/>
      <protection/>
    </xf>
    <xf numFmtId="0" fontId="60" fillId="35" borderId="118" xfId="55" applyFont="1" applyFill="1" applyBorder="1" applyAlignment="1">
      <alignment horizontal="center" vertical="center"/>
      <protection/>
    </xf>
    <xf numFmtId="0" fontId="60" fillId="35" borderId="43" xfId="55" applyFont="1" applyFill="1" applyBorder="1" applyAlignment="1">
      <alignment horizontal="center" vertical="center"/>
      <protection/>
    </xf>
    <xf numFmtId="0" fontId="60" fillId="35" borderId="0" xfId="55" applyFont="1" applyFill="1" applyBorder="1" applyAlignment="1">
      <alignment horizontal="center" vertical="center"/>
      <protection/>
    </xf>
    <xf numFmtId="0" fontId="60" fillId="35" borderId="119" xfId="55" applyFont="1" applyFill="1" applyBorder="1" applyAlignment="1">
      <alignment horizontal="center" vertical="center"/>
      <protection/>
    </xf>
    <xf numFmtId="0" fontId="60" fillId="35" borderId="80" xfId="55" applyFont="1" applyFill="1" applyBorder="1" applyAlignment="1">
      <alignment horizontal="center" vertical="center"/>
      <protection/>
    </xf>
    <xf numFmtId="0" fontId="60" fillId="35" borderId="49" xfId="55" applyFont="1" applyFill="1" applyBorder="1" applyAlignment="1">
      <alignment horizontal="center" vertical="center"/>
      <protection/>
    </xf>
    <xf numFmtId="0" fontId="60" fillId="35" borderId="120" xfId="55" applyFont="1" applyFill="1" applyBorder="1" applyAlignment="1">
      <alignment horizontal="center" vertical="center"/>
      <protection/>
    </xf>
    <xf numFmtId="185" fontId="22" fillId="35" borderId="93" xfId="55" applyNumberFormat="1" applyFont="1" applyFill="1" applyBorder="1" applyAlignment="1">
      <alignment horizontal="center" vertical="center"/>
      <protection/>
    </xf>
    <xf numFmtId="185" fontId="22" fillId="35" borderId="94" xfId="55" applyNumberFormat="1" applyFont="1" applyFill="1" applyBorder="1" applyAlignment="1">
      <alignment horizontal="center" vertical="center"/>
      <protection/>
    </xf>
    <xf numFmtId="185" fontId="22" fillId="35" borderId="119" xfId="55" applyNumberFormat="1" applyFont="1" applyFill="1" applyBorder="1" applyAlignment="1">
      <alignment horizontal="center" vertical="center"/>
      <protection/>
    </xf>
    <xf numFmtId="0" fontId="8" fillId="44" borderId="16" xfId="0" applyFont="1" applyFill="1" applyBorder="1" applyAlignment="1">
      <alignment horizontal="center"/>
    </xf>
    <xf numFmtId="0" fontId="8" fillId="44" borderId="15" xfId="0" applyFont="1" applyFill="1" applyBorder="1" applyAlignment="1">
      <alignment horizontal="center"/>
    </xf>
    <xf numFmtId="0" fontId="8" fillId="44" borderId="19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2" fillId="45" borderId="78" xfId="55" applyFont="1" applyFill="1" applyBorder="1" applyAlignment="1">
      <alignment horizontal="center"/>
      <protection/>
    </xf>
    <xf numFmtId="0" fontId="102" fillId="45" borderId="32" xfId="55" applyFont="1" applyFill="1" applyBorder="1" applyAlignment="1">
      <alignment horizontal="center"/>
      <protection/>
    </xf>
    <xf numFmtId="0" fontId="102" fillId="45" borderId="31" xfId="55" applyFont="1" applyFill="1" applyBorder="1" applyAlignment="1">
      <alignment horizontal="center"/>
      <protection/>
    </xf>
    <xf numFmtId="0" fontId="102" fillId="44" borderId="29" xfId="55" applyFont="1" applyFill="1" applyBorder="1" applyAlignment="1">
      <alignment horizontal="center"/>
      <protection/>
    </xf>
    <xf numFmtId="0" fontId="102" fillId="44" borderId="28" xfId="55" applyFont="1" applyFill="1" applyBorder="1" applyAlignment="1">
      <alignment horizontal="center"/>
      <protection/>
    </xf>
    <xf numFmtId="0" fontId="102" fillId="44" borderId="75" xfId="55" applyFont="1" applyFill="1" applyBorder="1" applyAlignment="1">
      <alignment horizontal="center"/>
      <protection/>
    </xf>
    <xf numFmtId="185" fontId="22" fillId="35" borderId="121" xfId="55" applyNumberFormat="1" applyFont="1" applyFill="1" applyBorder="1" applyAlignment="1">
      <alignment horizontal="center" vertical="center"/>
      <protection/>
    </xf>
    <xf numFmtId="185" fontId="22" fillId="35" borderId="64" xfId="55" applyNumberFormat="1" applyFont="1" applyFill="1" applyBorder="1" applyAlignment="1">
      <alignment horizontal="center" vertical="center"/>
      <protection/>
    </xf>
    <xf numFmtId="185" fontId="22" fillId="35" borderId="88" xfId="55" applyNumberFormat="1" applyFont="1" applyFill="1" applyBorder="1" applyAlignment="1">
      <alignment horizontal="center" vertical="center"/>
      <protection/>
    </xf>
    <xf numFmtId="185" fontId="22" fillId="35" borderId="122" xfId="55" applyNumberFormat="1" applyFont="1" applyFill="1" applyBorder="1" applyAlignment="1">
      <alignment horizontal="center" vertical="center"/>
      <protection/>
    </xf>
    <xf numFmtId="185" fontId="22" fillId="35" borderId="89" xfId="55" applyNumberFormat="1" applyFont="1" applyFill="1" applyBorder="1" applyAlignment="1">
      <alignment horizontal="center" vertical="center"/>
      <protection/>
    </xf>
    <xf numFmtId="0" fontId="12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3" fillId="46" borderId="34" xfId="0" applyFont="1" applyFill="1" applyBorder="1" applyAlignment="1">
      <alignment horizontal="center"/>
    </xf>
    <xf numFmtId="0" fontId="13" fillId="46" borderId="35" xfId="0" applyFont="1" applyFill="1" applyBorder="1" applyAlignment="1">
      <alignment horizontal="center"/>
    </xf>
    <xf numFmtId="0" fontId="13" fillId="46" borderId="91" xfId="0" applyFont="1" applyFill="1" applyBorder="1" applyAlignment="1">
      <alignment horizontal="center"/>
    </xf>
    <xf numFmtId="0" fontId="13" fillId="46" borderId="36" xfId="0" applyFont="1" applyFill="1" applyBorder="1" applyAlignment="1">
      <alignment horizontal="center"/>
    </xf>
    <xf numFmtId="2" fontId="0" fillId="0" borderId="53" xfId="73" applyNumberFormat="1" applyFont="1" applyFill="1" applyBorder="1" applyAlignment="1">
      <alignment horizontal="center" vertical="center"/>
    </xf>
    <xf numFmtId="2" fontId="0" fillId="0" borderId="55" xfId="73" applyNumberFormat="1" applyFont="1" applyFill="1" applyBorder="1" applyAlignment="1">
      <alignment horizontal="center" vertical="center"/>
    </xf>
    <xf numFmtId="2" fontId="0" fillId="0" borderId="41" xfId="73" applyNumberFormat="1" applyFont="1" applyFill="1" applyBorder="1" applyAlignment="1">
      <alignment horizontal="center" vertical="center"/>
    </xf>
    <xf numFmtId="2" fontId="10" fillId="0" borderId="91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0" fontId="10" fillId="44" borderId="29" xfId="0" applyFont="1" applyFill="1" applyBorder="1" applyAlignment="1">
      <alignment horizontal="center" vertical="center"/>
    </xf>
    <xf numFmtId="0" fontId="10" fillId="44" borderId="28" xfId="0" applyFont="1" applyFill="1" applyBorder="1" applyAlignment="1">
      <alignment horizontal="center" vertical="center"/>
    </xf>
    <xf numFmtId="0" fontId="10" fillId="44" borderId="75" xfId="0" applyFont="1" applyFill="1" applyBorder="1" applyAlignment="1">
      <alignment horizontal="center" vertical="center"/>
    </xf>
    <xf numFmtId="2" fontId="20" fillId="0" borderId="34" xfId="0" applyNumberFormat="1" applyFont="1" applyFill="1" applyBorder="1" applyAlignment="1" applyProtection="1">
      <alignment horizontal="center" vertical="center" wrapText="1"/>
      <protection/>
    </xf>
    <xf numFmtId="2" fontId="20" fillId="0" borderId="36" xfId="0" applyNumberFormat="1" applyFont="1" applyFill="1" applyBorder="1" applyAlignment="1" applyProtection="1">
      <alignment horizontal="center" vertical="center" wrapText="1"/>
      <protection/>
    </xf>
    <xf numFmtId="4" fontId="55" fillId="0" borderId="34" xfId="0" applyNumberFormat="1" applyFont="1" applyFill="1" applyBorder="1" applyAlignment="1">
      <alignment horizontal="center" vertical="center"/>
    </xf>
    <xf numFmtId="4" fontId="55" fillId="0" borderId="36" xfId="0" applyNumberFormat="1" applyFont="1" applyFill="1" applyBorder="1" applyAlignment="1">
      <alignment horizontal="center" vertical="center"/>
    </xf>
    <xf numFmtId="2" fontId="10" fillId="35" borderId="68" xfId="0" applyNumberFormat="1" applyFont="1" applyFill="1" applyBorder="1" applyAlignment="1">
      <alignment horizontal="center" vertical="center"/>
    </xf>
    <xf numFmtId="2" fontId="10" fillId="35" borderId="71" xfId="0" applyNumberFormat="1" applyFont="1" applyFill="1" applyBorder="1" applyAlignment="1">
      <alignment horizontal="center" vertical="center"/>
    </xf>
    <xf numFmtId="2" fontId="10" fillId="35" borderId="59" xfId="0" applyNumberFormat="1" applyFont="1" applyFill="1" applyBorder="1" applyAlignment="1">
      <alignment horizontal="center" vertical="center"/>
    </xf>
    <xf numFmtId="2" fontId="10" fillId="35" borderId="58" xfId="0" applyNumberFormat="1" applyFont="1" applyFill="1" applyBorder="1" applyAlignment="1">
      <alignment horizontal="center" vertical="center"/>
    </xf>
    <xf numFmtId="2" fontId="10" fillId="0" borderId="37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123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65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44" borderId="16" xfId="0" applyFont="1" applyFill="1" applyBorder="1" applyAlignment="1">
      <alignment horizontal="center" vertical="center"/>
    </xf>
    <xf numFmtId="0" fontId="10" fillId="44" borderId="15" xfId="0" applyFont="1" applyFill="1" applyBorder="1" applyAlignment="1">
      <alignment horizontal="center" vertical="center"/>
    </xf>
    <xf numFmtId="0" fontId="10" fillId="44" borderId="19" xfId="0" applyFont="1" applyFill="1" applyBorder="1" applyAlignment="1">
      <alignment horizontal="center" vertical="center"/>
    </xf>
    <xf numFmtId="0" fontId="10" fillId="44" borderId="48" xfId="0" applyFont="1" applyFill="1" applyBorder="1" applyAlignment="1">
      <alignment horizontal="center" vertical="center"/>
    </xf>
    <xf numFmtId="0" fontId="10" fillId="44" borderId="53" xfId="0" applyFont="1" applyFill="1" applyBorder="1" applyAlignment="1">
      <alignment horizontal="center" vertical="center"/>
    </xf>
    <xf numFmtId="0" fontId="10" fillId="44" borderId="69" xfId="0" applyFont="1" applyFill="1" applyBorder="1" applyAlignment="1">
      <alignment horizontal="center" vertical="center"/>
    </xf>
    <xf numFmtId="0" fontId="10" fillId="44" borderId="65" xfId="0" applyFont="1" applyFill="1" applyBorder="1" applyAlignment="1">
      <alignment horizontal="center" vertical="center"/>
    </xf>
    <xf numFmtId="0" fontId="10" fillId="44" borderId="54" xfId="0" applyFont="1" applyFill="1" applyBorder="1" applyAlignment="1">
      <alignment horizontal="center" vertical="center"/>
    </xf>
    <xf numFmtId="0" fontId="10" fillId="44" borderId="57" xfId="0" applyFont="1" applyFill="1" applyBorder="1" applyAlignment="1">
      <alignment horizontal="center" vertical="center"/>
    </xf>
    <xf numFmtId="0" fontId="10" fillId="44" borderId="123" xfId="0" applyFont="1" applyFill="1" applyBorder="1" applyAlignment="1">
      <alignment horizontal="center" vertical="center"/>
    </xf>
    <xf numFmtId="0" fontId="10" fillId="44" borderId="18" xfId="0" applyFont="1" applyFill="1" applyBorder="1" applyAlignment="1">
      <alignment horizontal="center" vertical="center"/>
    </xf>
    <xf numFmtId="2" fontId="10" fillId="0" borderId="95" xfId="0" applyNumberFormat="1" applyFont="1" applyFill="1" applyBorder="1" applyAlignment="1">
      <alignment horizontal="center" vertical="center"/>
    </xf>
    <xf numFmtId="2" fontId="10" fillId="0" borderId="70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2" fontId="10" fillId="35" borderId="31" xfId="0" applyNumberFormat="1" applyFont="1" applyFill="1" applyBorder="1" applyAlignment="1">
      <alignment horizontal="center" vertical="center"/>
    </xf>
    <xf numFmtId="0" fontId="10" fillId="35" borderId="74" xfId="0" applyFont="1" applyFill="1" applyBorder="1" applyAlignment="1">
      <alignment horizontal="center" vertical="center"/>
    </xf>
    <xf numFmtId="2" fontId="1" fillId="0" borderId="65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35" borderId="37" xfId="0" applyFont="1" applyFill="1" applyBorder="1" applyAlignment="1">
      <alignment horizontal="center"/>
    </xf>
    <xf numFmtId="0" fontId="8" fillId="35" borderId="98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44" borderId="29" xfId="0" applyFont="1" applyFill="1" applyBorder="1" applyAlignment="1">
      <alignment horizontal="center"/>
    </xf>
    <xf numFmtId="0" fontId="8" fillId="44" borderId="28" xfId="0" applyFont="1" applyFill="1" applyBorder="1" applyAlignment="1">
      <alignment horizontal="center"/>
    </xf>
    <xf numFmtId="0" fontId="8" fillId="44" borderId="75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1" fillId="35" borderId="91" xfId="0" applyFont="1" applyFill="1" applyBorder="1" applyAlignment="1">
      <alignment horizontal="center" vertical="center"/>
    </xf>
    <xf numFmtId="0" fontId="1" fillId="35" borderId="7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left"/>
    </xf>
    <xf numFmtId="0" fontId="7" fillId="42" borderId="1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center"/>
    </xf>
    <xf numFmtId="0" fontId="19" fillId="8" borderId="15" xfId="0" applyFont="1" applyFill="1" applyBorder="1" applyAlignment="1">
      <alignment horizontal="center"/>
    </xf>
    <xf numFmtId="0" fontId="19" fillId="8" borderId="19" xfId="0" applyFont="1" applyFill="1" applyBorder="1" applyAlignment="1">
      <alignment horizontal="center"/>
    </xf>
    <xf numFmtId="0" fontId="19" fillId="42" borderId="17" xfId="0" applyFont="1" applyFill="1" applyBorder="1" applyAlignment="1">
      <alignment horizontal="left" vertical="center"/>
    </xf>
    <xf numFmtId="0" fontId="19" fillId="42" borderId="10" xfId="0" applyFont="1" applyFill="1" applyBorder="1" applyAlignment="1">
      <alignment horizontal="left" vertical="center"/>
    </xf>
    <xf numFmtId="0" fontId="19" fillId="42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75" xfId="0" applyFont="1" applyFill="1" applyBorder="1" applyAlignment="1">
      <alignment horizontal="center" vertical="center"/>
    </xf>
    <xf numFmtId="0" fontId="19" fillId="42" borderId="17" xfId="0" applyFont="1" applyFill="1" applyBorder="1" applyAlignment="1">
      <alignment/>
    </xf>
    <xf numFmtId="0" fontId="19" fillId="42" borderId="10" xfId="0" applyFont="1" applyFill="1" applyBorder="1" applyAlignment="1">
      <alignment/>
    </xf>
    <xf numFmtId="0" fontId="19" fillId="42" borderId="14" xfId="0" applyFont="1" applyFill="1" applyBorder="1" applyAlignment="1">
      <alignment/>
    </xf>
    <xf numFmtId="0" fontId="10" fillId="35" borderId="54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9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0" fillId="0" borderId="124" xfId="0" applyFont="1" applyBorder="1" applyAlignment="1">
      <alignment horizontal="left"/>
    </xf>
    <xf numFmtId="0" fontId="0" fillId="0" borderId="105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109" xfId="0" applyFont="1" applyBorder="1" applyAlignment="1">
      <alignment horizontal="left"/>
    </xf>
    <xf numFmtId="0" fontId="1" fillId="0" borderId="110" xfId="0" applyFont="1" applyBorder="1" applyAlignment="1">
      <alignment horizontal="left"/>
    </xf>
    <xf numFmtId="0" fontId="1" fillId="0" borderId="125" xfId="0" applyFont="1" applyBorder="1" applyAlignment="1">
      <alignment horizontal="left"/>
    </xf>
    <xf numFmtId="0" fontId="1" fillId="0" borderId="126" xfId="0" applyFont="1" applyBorder="1" applyAlignment="1">
      <alignment horizontal="left"/>
    </xf>
    <xf numFmtId="0" fontId="1" fillId="0" borderId="107" xfId="0" applyFont="1" applyBorder="1" applyAlignment="1">
      <alignment horizontal="left"/>
    </xf>
    <xf numFmtId="0" fontId="1" fillId="0" borderId="108" xfId="0" applyFont="1" applyBorder="1" applyAlignment="1">
      <alignment horizontal="left"/>
    </xf>
    <xf numFmtId="0" fontId="1" fillId="37" borderId="78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7" borderId="80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74" xfId="0" applyFont="1" applyFill="1" applyBorder="1" applyAlignment="1">
      <alignment horizontal="center" vertical="center"/>
    </xf>
    <xf numFmtId="2" fontId="1" fillId="35" borderId="26" xfId="0" applyNumberFormat="1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2" fontId="1" fillId="35" borderId="25" xfId="0" applyNumberFormat="1" applyFont="1" applyFill="1" applyBorder="1" applyAlignment="1">
      <alignment horizontal="center" vertical="center"/>
    </xf>
    <xf numFmtId="0" fontId="11" fillId="46" borderId="95" xfId="0" applyFont="1" applyFill="1" applyBorder="1" applyAlignment="1">
      <alignment horizontal="center" vertical="center"/>
    </xf>
    <xf numFmtId="0" fontId="11" fillId="46" borderId="127" xfId="0" applyFont="1" applyFill="1" applyBorder="1" applyAlignment="1">
      <alignment horizontal="center" vertical="center"/>
    </xf>
    <xf numFmtId="0" fontId="11" fillId="46" borderId="50" xfId="0" applyFont="1" applyFill="1" applyBorder="1" applyAlignment="1">
      <alignment horizontal="center" vertical="center"/>
    </xf>
    <xf numFmtId="0" fontId="11" fillId="46" borderId="59" xfId="0" applyFont="1" applyFill="1" applyBorder="1" applyAlignment="1">
      <alignment horizontal="center" vertical="center"/>
    </xf>
    <xf numFmtId="0" fontId="11" fillId="46" borderId="81" xfId="0" applyFont="1" applyFill="1" applyBorder="1" applyAlignment="1">
      <alignment horizontal="center" vertical="center"/>
    </xf>
    <xf numFmtId="0" fontId="11" fillId="46" borderId="46" xfId="0" applyFont="1" applyFill="1" applyBorder="1" applyAlignment="1">
      <alignment horizontal="center" vertical="center"/>
    </xf>
    <xf numFmtId="0" fontId="11" fillId="46" borderId="52" xfId="0" applyFont="1" applyFill="1" applyBorder="1" applyAlignment="1">
      <alignment horizontal="center" vertical="center"/>
    </xf>
    <xf numFmtId="0" fontId="11" fillId="46" borderId="70" xfId="0" applyFont="1" applyFill="1" applyBorder="1" applyAlignment="1">
      <alignment horizontal="center" vertical="center"/>
    </xf>
    <xf numFmtId="0" fontId="11" fillId="46" borderId="73" xfId="0" applyFont="1" applyFill="1" applyBorder="1" applyAlignment="1">
      <alignment horizontal="center" vertical="center"/>
    </xf>
    <xf numFmtId="0" fontId="11" fillId="46" borderId="5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9" xfId="0" applyFont="1" applyBorder="1" applyAlignment="1">
      <alignment horizontal="left"/>
    </xf>
    <xf numFmtId="0" fontId="0" fillId="0" borderId="110" xfId="0" applyFont="1" applyBorder="1" applyAlignment="1">
      <alignment horizontal="left"/>
    </xf>
    <xf numFmtId="0" fontId="0" fillId="0" borderId="111" xfId="0" applyFont="1" applyBorder="1" applyAlignment="1">
      <alignment horizontal="left"/>
    </xf>
    <xf numFmtId="0" fontId="0" fillId="0" borderId="51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6" borderId="11" xfId="0" applyFont="1" applyFill="1" applyBorder="1" applyAlignment="1">
      <alignment horizontal="center"/>
    </xf>
    <xf numFmtId="0" fontId="1" fillId="46" borderId="12" xfId="0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0" fontId="0" fillId="0" borderId="128" xfId="0" applyFont="1" applyBorder="1" applyAlignment="1">
      <alignment horizontal="left"/>
    </xf>
    <xf numFmtId="0" fontId="0" fillId="0" borderId="129" xfId="0" applyFont="1" applyBorder="1" applyAlignment="1">
      <alignment horizontal="left"/>
    </xf>
    <xf numFmtId="0" fontId="0" fillId="0" borderId="130" xfId="0" applyFont="1" applyBorder="1" applyAlignment="1">
      <alignment horizontal="left"/>
    </xf>
    <xf numFmtId="0" fontId="1" fillId="0" borderId="111" xfId="0" applyFont="1" applyBorder="1" applyAlignment="1">
      <alignment horizontal="left"/>
    </xf>
    <xf numFmtId="0" fontId="1" fillId="35" borderId="37" xfId="0" applyFont="1" applyFill="1" applyBorder="1" applyAlignment="1">
      <alignment horizontal="center" vertical="center"/>
    </xf>
    <xf numFmtId="0" fontId="1" fillId="35" borderId="98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0" fillId="44" borderId="29" xfId="57" applyFont="1" applyFill="1" applyBorder="1" applyAlignment="1">
      <alignment horizontal="center"/>
      <protection/>
    </xf>
    <xf numFmtId="0" fontId="10" fillId="44" borderId="28" xfId="57" applyFont="1" applyFill="1" applyBorder="1" applyAlignment="1">
      <alignment horizontal="center"/>
      <protection/>
    </xf>
    <xf numFmtId="0" fontId="10" fillId="44" borderId="75" xfId="57" applyFont="1" applyFill="1" applyBorder="1" applyAlignment="1">
      <alignment horizontal="center"/>
      <protection/>
    </xf>
    <xf numFmtId="0" fontId="10" fillId="44" borderId="0" xfId="57" applyFont="1" applyFill="1" applyBorder="1" applyAlignment="1">
      <alignment horizontal="center"/>
      <protection/>
    </xf>
    <xf numFmtId="0" fontId="10" fillId="0" borderId="29" xfId="57" applyFont="1" applyFill="1" applyBorder="1" applyAlignment="1">
      <alignment horizontal="center"/>
      <protection/>
    </xf>
    <xf numFmtId="0" fontId="10" fillId="0" borderId="28" xfId="57" applyFont="1" applyFill="1" applyBorder="1" applyAlignment="1">
      <alignment horizontal="center"/>
      <protection/>
    </xf>
    <xf numFmtId="0" fontId="91" fillId="0" borderId="78" xfId="0" applyFont="1" applyFill="1" applyBorder="1" applyAlignment="1">
      <alignment horizontal="center" vertical="center"/>
    </xf>
    <xf numFmtId="0" fontId="91" fillId="0" borderId="80" xfId="0" applyFont="1" applyFill="1" applyBorder="1" applyAlignment="1">
      <alignment horizontal="center" vertical="center"/>
    </xf>
    <xf numFmtId="0" fontId="91" fillId="44" borderId="29" xfId="0" applyFont="1" applyFill="1" applyBorder="1" applyAlignment="1">
      <alignment horizontal="center" vertical="center"/>
    </xf>
    <xf numFmtId="0" fontId="91" fillId="44" borderId="7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91" fillId="44" borderId="34" xfId="0" applyFont="1" applyFill="1" applyBorder="1" applyAlignment="1">
      <alignment horizontal="center" vertical="center"/>
    </xf>
    <xf numFmtId="0" fontId="91" fillId="44" borderId="35" xfId="0" applyFont="1" applyFill="1" applyBorder="1" applyAlignment="1">
      <alignment horizontal="center" vertical="center"/>
    </xf>
    <xf numFmtId="0" fontId="91" fillId="44" borderId="36" xfId="0" applyFont="1" applyFill="1" applyBorder="1" applyAlignment="1">
      <alignment horizontal="center" vertical="center"/>
    </xf>
    <xf numFmtId="0" fontId="91" fillId="37" borderId="92" xfId="0" applyFont="1" applyFill="1" applyBorder="1" applyAlignment="1">
      <alignment horizontal="right" vertical="center"/>
    </xf>
    <xf numFmtId="0" fontId="91" fillId="37" borderId="67" xfId="0" applyFont="1" applyFill="1" applyBorder="1" applyAlignment="1">
      <alignment horizontal="right" vertical="center"/>
    </xf>
    <xf numFmtId="0" fontId="91" fillId="37" borderId="99" xfId="0" applyFont="1" applyFill="1" applyBorder="1" applyAlignment="1">
      <alignment horizontal="right" vertical="center"/>
    </xf>
    <xf numFmtId="2" fontId="91" fillId="0" borderId="95" xfId="0" applyNumberFormat="1" applyFont="1" applyBorder="1" applyAlignment="1">
      <alignment horizontal="center" vertical="center"/>
    </xf>
    <xf numFmtId="2" fontId="91" fillId="0" borderId="70" xfId="0" applyNumberFormat="1" applyFont="1" applyBorder="1" applyAlignment="1">
      <alignment horizontal="center" vertical="center"/>
    </xf>
    <xf numFmtId="0" fontId="91" fillId="37" borderId="29" xfId="0" applyFont="1" applyFill="1" applyBorder="1" applyAlignment="1">
      <alignment horizontal="right" vertical="center"/>
    </xf>
    <xf numFmtId="0" fontId="91" fillId="37" borderId="28" xfId="0" applyFont="1" applyFill="1" applyBorder="1" applyAlignment="1">
      <alignment horizontal="right" vertical="center"/>
    </xf>
    <xf numFmtId="0" fontId="91" fillId="37" borderId="75" xfId="0" applyFont="1" applyFill="1" applyBorder="1" applyAlignment="1">
      <alignment horizontal="right" vertical="center"/>
    </xf>
    <xf numFmtId="0" fontId="91" fillId="0" borderId="80" xfId="0" applyFont="1" applyFill="1" applyBorder="1" applyAlignment="1">
      <alignment horizontal="right" vertical="center"/>
    </xf>
    <xf numFmtId="0" fontId="91" fillId="0" borderId="49" xfId="0" applyFont="1" applyFill="1" applyBorder="1" applyAlignment="1">
      <alignment horizontal="right" vertical="center"/>
    </xf>
    <xf numFmtId="0" fontId="91" fillId="0" borderId="74" xfId="0" applyFont="1" applyFill="1" applyBorder="1" applyAlignment="1">
      <alignment horizontal="right" vertical="center"/>
    </xf>
    <xf numFmtId="0" fontId="91" fillId="44" borderId="29" xfId="0" applyFont="1" applyFill="1" applyBorder="1" applyAlignment="1">
      <alignment horizontal="center"/>
    </xf>
    <xf numFmtId="0" fontId="91" fillId="44" borderId="28" xfId="0" applyFont="1" applyFill="1" applyBorder="1" applyAlignment="1">
      <alignment horizontal="center"/>
    </xf>
    <xf numFmtId="0" fontId="91" fillId="44" borderId="75" xfId="0" applyFont="1" applyFill="1" applyBorder="1" applyAlignment="1">
      <alignment horizontal="center"/>
    </xf>
    <xf numFmtId="185" fontId="91" fillId="0" borderId="95" xfId="73" applyFont="1" applyFill="1" applyBorder="1" applyAlignment="1">
      <alignment horizontal="center"/>
    </xf>
    <xf numFmtId="185" fontId="91" fillId="0" borderId="70" xfId="73" applyFont="1" applyFill="1" applyBorder="1" applyAlignment="1">
      <alignment horizontal="center"/>
    </xf>
    <xf numFmtId="0" fontId="91" fillId="0" borderId="29" xfId="0" applyFont="1" applyFill="1" applyBorder="1" applyAlignment="1">
      <alignment horizontal="right" vertical="center"/>
    </xf>
    <xf numFmtId="0" fontId="91" fillId="0" borderId="28" xfId="0" applyFont="1" applyFill="1" applyBorder="1" applyAlignment="1">
      <alignment horizontal="right" vertical="center"/>
    </xf>
    <xf numFmtId="0" fontId="91" fillId="0" borderId="75" xfId="0" applyFont="1" applyFill="1" applyBorder="1" applyAlignment="1">
      <alignment horizontal="right" vertical="center"/>
    </xf>
    <xf numFmtId="0" fontId="10" fillId="44" borderId="34" xfId="0" applyFont="1" applyFill="1" applyBorder="1" applyAlignment="1">
      <alignment horizontal="center" vertical="center"/>
    </xf>
    <xf numFmtId="0" fontId="10" fillId="44" borderId="35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91" fillId="44" borderId="28" xfId="0" applyFont="1" applyFill="1" applyBorder="1" applyAlignment="1">
      <alignment horizontal="center" vertical="center"/>
    </xf>
    <xf numFmtId="0" fontId="91" fillId="0" borderId="29" xfId="0" applyFont="1" applyFill="1" applyBorder="1" applyAlignment="1">
      <alignment horizontal="right"/>
    </xf>
    <xf numFmtId="0" fontId="91" fillId="0" borderId="28" xfId="0" applyFont="1" applyFill="1" applyBorder="1" applyAlignment="1">
      <alignment horizontal="right"/>
    </xf>
    <xf numFmtId="0" fontId="91" fillId="0" borderId="75" xfId="0" applyFont="1" applyFill="1" applyBorder="1" applyAlignment="1">
      <alignment horizontal="right"/>
    </xf>
    <xf numFmtId="0" fontId="91" fillId="44" borderId="78" xfId="0" applyFont="1" applyFill="1" applyBorder="1" applyAlignment="1">
      <alignment horizontal="center"/>
    </xf>
    <xf numFmtId="0" fontId="91" fillId="44" borderId="32" xfId="0" applyFont="1" applyFill="1" applyBorder="1" applyAlignment="1">
      <alignment horizontal="center"/>
    </xf>
    <xf numFmtId="0" fontId="91" fillId="44" borderId="31" xfId="0" applyFont="1" applyFill="1" applyBorder="1" applyAlignment="1">
      <alignment horizontal="center"/>
    </xf>
    <xf numFmtId="0" fontId="91" fillId="0" borderId="65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91" fillId="0" borderId="37" xfId="0" applyNumberFormat="1" applyFont="1" applyBorder="1" applyAlignment="1">
      <alignment horizontal="center" vertical="center"/>
    </xf>
    <xf numFmtId="2" fontId="91" fillId="0" borderId="21" xfId="0" applyNumberFormat="1" applyFont="1" applyBorder="1" applyAlignment="1">
      <alignment horizontal="center" vertical="center"/>
    </xf>
    <xf numFmtId="0" fontId="104" fillId="36" borderId="38" xfId="0" applyFont="1" applyFill="1" applyBorder="1" applyAlignment="1">
      <alignment horizontal="left" vertical="center"/>
    </xf>
    <xf numFmtId="0" fontId="104" fillId="36" borderId="45" xfId="0" applyFont="1" applyFill="1" applyBorder="1" applyAlignment="1">
      <alignment horizontal="left" vertical="center"/>
    </xf>
    <xf numFmtId="0" fontId="104" fillId="36" borderId="29" xfId="0" applyFont="1" applyFill="1" applyBorder="1" applyAlignment="1">
      <alignment horizontal="left" vertical="center"/>
    </xf>
    <xf numFmtId="0" fontId="104" fillId="36" borderId="2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0" fillId="36" borderId="26" xfId="0" applyFont="1" applyFill="1" applyBorder="1" applyAlignment="1">
      <alignment horizontal="center" vertical="center" wrapText="1"/>
    </xf>
    <xf numFmtId="0" fontId="90" fillId="36" borderId="30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90" fillId="36" borderId="78" xfId="0" applyFont="1" applyFill="1" applyBorder="1" applyAlignment="1">
      <alignment horizontal="center" vertical="center" wrapText="1"/>
    </xf>
    <xf numFmtId="0" fontId="90" fillId="36" borderId="32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0" fillId="8" borderId="34" xfId="0" applyFont="1" applyFill="1" applyBorder="1" applyAlignment="1">
      <alignment horizontal="center" vertical="center" wrapText="1"/>
    </xf>
    <xf numFmtId="0" fontId="90" fillId="8" borderId="35" xfId="0" applyFont="1" applyFill="1" applyBorder="1" applyAlignment="1">
      <alignment horizontal="center" vertical="center" wrapText="1"/>
    </xf>
    <xf numFmtId="0" fontId="90" fillId="8" borderId="36" xfId="0" applyFont="1" applyFill="1" applyBorder="1" applyAlignment="1">
      <alignment horizontal="center" vertical="center" wrapText="1"/>
    </xf>
    <xf numFmtId="0" fontId="105" fillId="35" borderId="78" xfId="0" applyFont="1" applyFill="1" applyBorder="1" applyAlignment="1">
      <alignment horizontal="center" vertical="center" wrapText="1"/>
    </xf>
    <xf numFmtId="0" fontId="105" fillId="35" borderId="32" xfId="0" applyFont="1" applyFill="1" applyBorder="1" applyAlignment="1">
      <alignment horizontal="center" vertical="center" wrapText="1"/>
    </xf>
    <xf numFmtId="0" fontId="105" fillId="35" borderId="31" xfId="0" applyFont="1" applyFill="1" applyBorder="1" applyAlignment="1">
      <alignment horizontal="center" vertical="center" wrapText="1"/>
    </xf>
    <xf numFmtId="0" fontId="105" fillId="35" borderId="80" xfId="0" applyFont="1" applyFill="1" applyBorder="1" applyAlignment="1">
      <alignment horizontal="center" vertical="center" wrapText="1"/>
    </xf>
    <xf numFmtId="0" fontId="105" fillId="35" borderId="49" xfId="0" applyFont="1" applyFill="1" applyBorder="1" applyAlignment="1">
      <alignment horizontal="center" vertical="center" wrapText="1"/>
    </xf>
    <xf numFmtId="0" fontId="105" fillId="35" borderId="74" xfId="0" applyFont="1" applyFill="1" applyBorder="1" applyAlignment="1">
      <alignment horizontal="center" vertical="center" wrapText="1"/>
    </xf>
    <xf numFmtId="0" fontId="106" fillId="0" borderId="32" xfId="0" applyFont="1" applyBorder="1" applyAlignment="1">
      <alignment horizontal="center"/>
    </xf>
    <xf numFmtId="0" fontId="8" fillId="47" borderId="29" xfId="0" applyFont="1" applyFill="1" applyBorder="1" applyAlignment="1">
      <alignment horizontal="center" vertical="center"/>
    </xf>
    <xf numFmtId="0" fontId="8" fillId="47" borderId="28" xfId="0" applyFont="1" applyFill="1" applyBorder="1" applyAlignment="1">
      <alignment horizontal="center" vertical="center"/>
    </xf>
    <xf numFmtId="0" fontId="8" fillId="47" borderId="75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107" fillId="48" borderId="29" xfId="55" applyFont="1" applyFill="1" applyBorder="1" applyAlignment="1">
      <alignment horizontal="center"/>
      <protection/>
    </xf>
    <xf numFmtId="0" fontId="107" fillId="48" borderId="28" xfId="55" applyFont="1" applyFill="1" applyBorder="1" applyAlignment="1">
      <alignment horizontal="center"/>
      <protection/>
    </xf>
    <xf numFmtId="0" fontId="107" fillId="48" borderId="75" xfId="55" applyFont="1" applyFill="1" applyBorder="1" applyAlignment="1">
      <alignment horizontal="center"/>
      <protection/>
    </xf>
    <xf numFmtId="0" fontId="107" fillId="49" borderId="29" xfId="55" applyFont="1" applyFill="1" applyBorder="1" applyAlignment="1">
      <alignment horizontal="center"/>
      <protection/>
    </xf>
    <xf numFmtId="0" fontId="107" fillId="49" borderId="28" xfId="55" applyFont="1" applyFill="1" applyBorder="1" applyAlignment="1">
      <alignment horizontal="center"/>
      <protection/>
    </xf>
    <xf numFmtId="0" fontId="108" fillId="49" borderId="75" xfId="55" applyFont="1" applyFill="1" applyBorder="1" applyAlignment="1">
      <alignment horizontal="center"/>
      <protection/>
    </xf>
    <xf numFmtId="0" fontId="109" fillId="0" borderId="0" xfId="55" applyFont="1" applyFill="1" applyBorder="1" applyAlignment="1">
      <alignment horizontal="left" vertical="center" wrapText="1"/>
      <protection/>
    </xf>
    <xf numFmtId="0" fontId="109" fillId="0" borderId="0" xfId="55" applyFont="1" applyFill="1" applyBorder="1" applyAlignment="1">
      <alignment horizontal="center" vertical="center"/>
      <protection/>
    </xf>
    <xf numFmtId="0" fontId="77" fillId="0" borderId="0" xfId="55" applyFont="1" applyFill="1" applyBorder="1">
      <alignment/>
      <protection/>
    </xf>
    <xf numFmtId="0" fontId="107" fillId="50" borderId="29" xfId="55" applyFont="1" applyFill="1" applyBorder="1" applyAlignment="1">
      <alignment horizontal="left" vertical="center"/>
      <protection/>
    </xf>
    <xf numFmtId="0" fontId="107" fillId="50" borderId="28" xfId="55" applyFont="1" applyFill="1" applyBorder="1" applyAlignment="1">
      <alignment horizontal="left" vertical="center"/>
      <protection/>
    </xf>
    <xf numFmtId="0" fontId="107" fillId="50" borderId="75" xfId="55" applyFont="1" applyFill="1" applyBorder="1" applyAlignment="1">
      <alignment horizontal="left" vertical="center"/>
      <protection/>
    </xf>
    <xf numFmtId="0" fontId="109" fillId="49" borderId="10" xfId="55" applyFont="1" applyFill="1" applyBorder="1" applyAlignment="1">
      <alignment horizontal="left" vertical="center" wrapText="1"/>
      <protection/>
    </xf>
    <xf numFmtId="0" fontId="18" fillId="49" borderId="10" xfId="55" applyFont="1" applyFill="1" applyBorder="1" applyAlignment="1">
      <alignment horizontal="center" vertical="center"/>
      <protection/>
    </xf>
    <xf numFmtId="2" fontId="77" fillId="49" borderId="10" xfId="55" applyNumberFormat="1" applyFont="1" applyFill="1" applyBorder="1" applyAlignment="1">
      <alignment horizontal="center" vertical="center"/>
      <protection/>
    </xf>
    <xf numFmtId="0" fontId="110" fillId="49" borderId="10" xfId="55" applyFont="1" applyFill="1" applyBorder="1" applyAlignment="1">
      <alignment horizontal="right" vertical="center" wrapText="1"/>
      <protection/>
    </xf>
    <xf numFmtId="2" fontId="18" fillId="49" borderId="10" xfId="55" applyNumberFormat="1" applyFont="1" applyFill="1" applyBorder="1" applyAlignment="1">
      <alignment horizontal="center" vertical="center"/>
      <protection/>
    </xf>
    <xf numFmtId="2" fontId="22" fillId="49" borderId="10" xfId="55" applyNumberFormat="1" applyFont="1" applyFill="1" applyBorder="1" applyAlignment="1">
      <alignment horizontal="center" vertical="center"/>
      <protection/>
    </xf>
    <xf numFmtId="0" fontId="109" fillId="49" borderId="10" xfId="55" applyFont="1" applyFill="1" applyBorder="1" applyAlignment="1">
      <alignment horizontal="center" vertical="center"/>
      <protection/>
    </xf>
    <xf numFmtId="0" fontId="109" fillId="49" borderId="0" xfId="55" applyFont="1" applyFill="1" applyBorder="1" applyAlignment="1">
      <alignment horizontal="center" vertical="center"/>
      <protection/>
    </xf>
    <xf numFmtId="2" fontId="18" fillId="49" borderId="0" xfId="55" applyNumberFormat="1" applyFont="1" applyFill="1" applyBorder="1" applyAlignment="1">
      <alignment horizontal="center" vertical="center"/>
      <protection/>
    </xf>
    <xf numFmtId="0" fontId="109" fillId="0" borderId="0" xfId="55" applyFont="1" applyFill="1" applyBorder="1">
      <alignment/>
      <protection/>
    </xf>
    <xf numFmtId="0" fontId="107" fillId="49" borderId="0" xfId="55" applyFont="1" applyFill="1" applyBorder="1" applyAlignment="1">
      <alignment horizontal="left" vertical="center"/>
      <protection/>
    </xf>
    <xf numFmtId="0" fontId="108" fillId="49" borderId="0" xfId="55" applyFont="1" applyFill="1" applyBorder="1" applyAlignment="1">
      <alignment horizontal="left" vertical="center"/>
      <protection/>
    </xf>
    <xf numFmtId="0" fontId="111" fillId="49" borderId="45" xfId="55" applyFont="1" applyFill="1" applyBorder="1" applyAlignment="1">
      <alignment horizontal="center" vertical="center" wrapText="1"/>
      <protection/>
    </xf>
    <xf numFmtId="0" fontId="112" fillId="49" borderId="37" xfId="55" applyFont="1" applyFill="1" applyBorder="1" applyAlignment="1">
      <alignment horizontal="right" vertical="center" wrapText="1"/>
      <protection/>
    </xf>
    <xf numFmtId="0" fontId="112" fillId="49" borderId="21" xfId="55" applyFont="1" applyFill="1" applyBorder="1" applyAlignment="1">
      <alignment horizontal="right" vertical="center" wrapText="1"/>
      <protection/>
    </xf>
    <xf numFmtId="0" fontId="111" fillId="49" borderId="49" xfId="55" applyFont="1" applyFill="1" applyBorder="1" applyAlignment="1">
      <alignment horizontal="center" vertical="center" wrapText="1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rmal 25" xfId="55"/>
    <cellStyle name="Normal 3" xfId="56"/>
    <cellStyle name="Normal 4" xfId="57"/>
    <cellStyle name="Nota" xfId="58"/>
    <cellStyle name="Percent" xfId="59"/>
    <cellStyle name="Porcentagem 2" xfId="60"/>
    <cellStyle name="Saída" xfId="61"/>
    <cellStyle name="Comma [0]" xfId="62"/>
    <cellStyle name="Separador de milhares 2" xfId="63"/>
    <cellStyle name="Separador de milhares 3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3" xfId="75"/>
  </cellStyles>
  <dxfs count="3">
    <dxf>
      <font>
        <b/>
        <i val="0"/>
      </font>
      <fill>
        <patternFill>
          <bgColor theme="0" tint="-0.149959996342659"/>
        </patternFill>
      </fill>
      <border>
        <left/>
        <right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  <border>
        <left/>
        <right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C-COLO%20DO%20&#218;TERO-REV.%20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anco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IMPRESSÕES"/>
      <sheetName val="CC"/>
    </sheetNames>
    <sheetDataSet>
      <sheetData sheetId="2">
        <row r="30">
          <cell r="G30">
            <v>43556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17.7109375" style="0" customWidth="1"/>
    <col min="4" max="4" width="13.57421875" style="0" customWidth="1"/>
    <col min="5" max="5" width="14.8515625" style="0" customWidth="1"/>
  </cols>
  <sheetData>
    <row r="1" spans="1:6" ht="18.75" thickBot="1">
      <c r="A1" s="687" t="s">
        <v>5</v>
      </c>
      <c r="B1" s="688"/>
      <c r="C1" s="688"/>
      <c r="D1" s="688"/>
      <c r="E1" s="688"/>
      <c r="F1" s="689"/>
    </row>
    <row r="2" spans="1:6" ht="12.75">
      <c r="A2" s="99"/>
      <c r="B2" s="99"/>
      <c r="C2" s="99"/>
      <c r="D2" s="99"/>
      <c r="E2" s="99"/>
      <c r="F2" s="4"/>
    </row>
    <row r="3" spans="1:6" ht="12.75" customHeight="1">
      <c r="A3" s="668" t="s">
        <v>366</v>
      </c>
      <c r="B3" s="668"/>
      <c r="C3" s="668"/>
      <c r="D3" s="668"/>
      <c r="E3" s="668"/>
      <c r="F3" s="668"/>
    </row>
    <row r="4" spans="1:6" ht="12.75">
      <c r="A4" s="668" t="s">
        <v>367</v>
      </c>
      <c r="B4" s="668"/>
      <c r="C4" s="668"/>
      <c r="D4" s="668"/>
      <c r="E4" s="668"/>
      <c r="F4" s="668"/>
    </row>
    <row r="5" spans="1:6" ht="12.75" customHeight="1">
      <c r="A5" s="668" t="s">
        <v>232</v>
      </c>
      <c r="B5" s="668"/>
      <c r="C5" s="668"/>
      <c r="D5" s="668"/>
      <c r="E5" s="668"/>
      <c r="F5" s="668"/>
    </row>
    <row r="6" spans="1:6" ht="27" customHeight="1">
      <c r="A6" s="668" t="s">
        <v>368</v>
      </c>
      <c r="B6" s="668"/>
      <c r="C6" s="668"/>
      <c r="D6" s="668"/>
      <c r="E6" s="668"/>
      <c r="F6" s="668"/>
    </row>
    <row r="7" spans="1:6" ht="12.75" customHeight="1">
      <c r="A7" s="667" t="s">
        <v>288</v>
      </c>
      <c r="B7" s="667"/>
      <c r="C7" s="667"/>
      <c r="D7" s="667"/>
      <c r="E7" s="667"/>
      <c r="F7" s="667"/>
    </row>
    <row r="8" spans="1:6" ht="12.75">
      <c r="A8" s="667" t="s">
        <v>277</v>
      </c>
      <c r="B8" s="667"/>
      <c r="C8" s="667"/>
      <c r="D8" s="667"/>
      <c r="E8" s="667"/>
      <c r="F8" s="667"/>
    </row>
    <row r="9" spans="1:6" ht="18" customHeight="1">
      <c r="A9" s="668" t="s">
        <v>369</v>
      </c>
      <c r="B9" s="668"/>
      <c r="C9" s="668"/>
      <c r="D9" s="668"/>
      <c r="E9" s="668"/>
      <c r="F9" s="668"/>
    </row>
    <row r="10" spans="3:6" ht="12.75">
      <c r="C10" s="56"/>
      <c r="D10" s="56"/>
      <c r="E10" s="56"/>
      <c r="F10" s="56"/>
    </row>
    <row r="11" spans="3:6" ht="13.5" thickBot="1">
      <c r="C11" s="56"/>
      <c r="D11" s="56"/>
      <c r="E11" s="56"/>
      <c r="F11" s="56"/>
    </row>
    <row r="12" spans="1:6" ht="18" customHeight="1" thickBot="1">
      <c r="A12" s="674" t="s">
        <v>340</v>
      </c>
      <c r="B12" s="675"/>
      <c r="C12" s="675"/>
      <c r="D12" s="675"/>
      <c r="E12" s="675"/>
      <c r="F12" s="676"/>
    </row>
    <row r="13" spans="3:6" ht="13.5" thickBot="1">
      <c r="C13" s="56"/>
      <c r="D13" s="56"/>
      <c r="E13" s="56"/>
      <c r="F13" s="56"/>
    </row>
    <row r="14" spans="1:6" ht="15">
      <c r="A14" s="571" t="s">
        <v>341</v>
      </c>
      <c r="B14" s="572" t="s">
        <v>342</v>
      </c>
      <c r="C14" s="572" t="s">
        <v>343</v>
      </c>
      <c r="D14" s="572" t="s">
        <v>344</v>
      </c>
      <c r="E14" s="572" t="s">
        <v>345</v>
      </c>
      <c r="F14" s="573" t="s">
        <v>346</v>
      </c>
    </row>
    <row r="15" spans="1:6" ht="12.75">
      <c r="A15" s="482" t="s">
        <v>347</v>
      </c>
      <c r="B15" s="574" t="s">
        <v>114</v>
      </c>
      <c r="C15" s="574">
        <v>6</v>
      </c>
      <c r="D15" s="574">
        <v>0.5</v>
      </c>
      <c r="E15" s="574">
        <v>22</v>
      </c>
      <c r="F15" s="575">
        <f>ROUND(C15*D15*E15,2)</f>
        <v>66</v>
      </c>
    </row>
    <row r="16" spans="1:6" ht="13.5" thickBot="1">
      <c r="A16" s="483" t="s">
        <v>348</v>
      </c>
      <c r="B16" s="590" t="s">
        <v>114</v>
      </c>
      <c r="C16" s="576">
        <v>6</v>
      </c>
      <c r="D16" s="576">
        <v>3</v>
      </c>
      <c r="E16" s="576">
        <v>22</v>
      </c>
      <c r="F16" s="591">
        <f>ROUND(C16*D16*E16,2)</f>
        <v>396</v>
      </c>
    </row>
    <row r="17" spans="1:6" ht="13.5" thickBot="1">
      <c r="A17" s="298"/>
      <c r="B17" s="298"/>
      <c r="C17" s="577"/>
      <c r="D17" s="577"/>
      <c r="E17" s="577"/>
      <c r="F17" s="577"/>
    </row>
    <row r="18" spans="1:6" ht="13.5" thickBot="1">
      <c r="A18" s="677" t="s">
        <v>349</v>
      </c>
      <c r="B18" s="678"/>
      <c r="C18" s="678"/>
      <c r="D18" s="679"/>
      <c r="E18" s="578">
        <v>1</v>
      </c>
      <c r="F18" s="579" t="s">
        <v>350</v>
      </c>
    </row>
    <row r="19" spans="3:6" ht="12.75">
      <c r="C19" s="56"/>
      <c r="D19" s="56"/>
      <c r="E19" s="56"/>
      <c r="F19" s="56"/>
    </row>
    <row r="20" spans="3:6" ht="13.5" thickBot="1">
      <c r="C20" s="56"/>
      <c r="D20" s="56"/>
      <c r="E20" s="56"/>
      <c r="F20" s="56"/>
    </row>
    <row r="21" spans="1:6" ht="15.75" thickBot="1">
      <c r="A21" s="674" t="s">
        <v>351</v>
      </c>
      <c r="B21" s="675"/>
      <c r="C21" s="675"/>
      <c r="D21" s="675"/>
      <c r="E21" s="675"/>
      <c r="F21" s="676"/>
    </row>
    <row r="22" spans="1:6" ht="15.75" thickBot="1">
      <c r="A22" s="680" t="s">
        <v>352</v>
      </c>
      <c r="B22" s="681"/>
      <c r="C22" s="681"/>
      <c r="D22" s="681"/>
      <c r="E22" s="681"/>
      <c r="F22" s="682"/>
    </row>
    <row r="23" spans="3:6" ht="13.5" thickBot="1">
      <c r="C23" s="56"/>
      <c r="D23" s="56"/>
      <c r="E23" s="56"/>
      <c r="F23" s="56"/>
    </row>
    <row r="24" spans="1:6" ht="30">
      <c r="A24" s="683" t="s">
        <v>353</v>
      </c>
      <c r="B24" s="684"/>
      <c r="C24" s="684"/>
      <c r="D24" s="580" t="s">
        <v>354</v>
      </c>
      <c r="E24" s="580" t="s">
        <v>355</v>
      </c>
      <c r="F24" s="581" t="s">
        <v>356</v>
      </c>
    </row>
    <row r="25" spans="1:6" ht="15">
      <c r="A25" s="685"/>
      <c r="B25" s="686"/>
      <c r="C25" s="686"/>
      <c r="D25" s="592">
        <v>6</v>
      </c>
      <c r="E25" s="592">
        <v>3</v>
      </c>
      <c r="F25" s="593">
        <f>D25*E25</f>
        <v>18</v>
      </c>
    </row>
    <row r="26" spans="1:6" ht="15" customHeight="1" thickBot="1">
      <c r="A26" s="671" t="s">
        <v>363</v>
      </c>
      <c r="B26" s="672"/>
      <c r="C26" s="672"/>
      <c r="D26" s="672"/>
      <c r="E26" s="673"/>
      <c r="F26" s="594">
        <f>F25/2</f>
        <v>9</v>
      </c>
    </row>
    <row r="27" spans="3:6" ht="15">
      <c r="C27" s="56"/>
      <c r="D27" s="56"/>
      <c r="E27" s="582"/>
      <c r="F27" s="56"/>
    </row>
    <row r="28" spans="3:6" ht="15.75" thickBot="1">
      <c r="C28" s="56"/>
      <c r="D28" s="56"/>
      <c r="E28" s="582"/>
      <c r="F28" s="56"/>
    </row>
    <row r="29" spans="1:6" ht="15.75" thickBot="1">
      <c r="A29" s="669" t="s">
        <v>357</v>
      </c>
      <c r="B29" s="670"/>
      <c r="C29" s="56"/>
      <c r="D29" s="56"/>
      <c r="E29" s="582"/>
      <c r="F29" s="56"/>
    </row>
    <row r="30" spans="1:6" ht="15.75" thickBot="1">
      <c r="A30" s="583" t="s">
        <v>358</v>
      </c>
      <c r="B30" s="584" t="s">
        <v>356</v>
      </c>
      <c r="C30" s="56"/>
      <c r="D30" s="56"/>
      <c r="E30" s="582"/>
      <c r="F30" s="56"/>
    </row>
    <row r="31" spans="1:6" ht="15.75" thickBot="1">
      <c r="A31" s="585" t="s">
        <v>359</v>
      </c>
      <c r="B31" s="586">
        <v>136.73</v>
      </c>
      <c r="C31" s="56"/>
      <c r="D31" s="56"/>
      <c r="E31" s="582"/>
      <c r="F31" s="56"/>
    </row>
    <row r="32" spans="3:6" ht="15">
      <c r="C32" s="56"/>
      <c r="D32" s="56"/>
      <c r="E32" s="582"/>
      <c r="F32" s="56"/>
    </row>
  </sheetData>
  <sheetProtection/>
  <mergeCells count="15">
    <mergeCell ref="A4:F4"/>
    <mergeCell ref="A1:F1"/>
    <mergeCell ref="A3:F3"/>
    <mergeCell ref="A5:F5"/>
    <mergeCell ref="A6:F6"/>
    <mergeCell ref="A7:F7"/>
    <mergeCell ref="A8:F8"/>
    <mergeCell ref="A9:F9"/>
    <mergeCell ref="A29:B29"/>
    <mergeCell ref="A26:E26"/>
    <mergeCell ref="A12:F12"/>
    <mergeCell ref="A18:D18"/>
    <mergeCell ref="A21:F21"/>
    <mergeCell ref="A22:F22"/>
    <mergeCell ref="A24:C2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&amp;RPágina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R77"/>
  <sheetViews>
    <sheetView view="pageBreakPreview" zoomScale="115" zoomScaleSheetLayoutView="115" workbookViewId="0" topLeftCell="A19">
      <selection activeCell="I44" sqref="I44"/>
    </sheetView>
  </sheetViews>
  <sheetFormatPr defaultColWidth="9.140625" defaultRowHeight="12.75"/>
  <cols>
    <col min="1" max="1" width="10.140625" style="0" customWidth="1"/>
    <col min="2" max="2" width="28.7109375" style="104" customWidth="1"/>
    <col min="3" max="3" width="11.421875" style="104" customWidth="1"/>
    <col min="4" max="4" width="9.00390625" style="104" customWidth="1"/>
    <col min="5" max="5" width="10.140625" style="104" customWidth="1"/>
    <col min="6" max="6" width="11.7109375" style="104" customWidth="1"/>
    <col min="7" max="7" width="7.8515625" style="32" customWidth="1"/>
    <col min="8" max="8" width="13.57421875" style="29" customWidth="1"/>
    <col min="9" max="9" width="8.8515625" style="29" customWidth="1"/>
    <col min="10" max="10" width="5.7109375" style="26" customWidth="1"/>
    <col min="11" max="12" width="9.140625" style="3" customWidth="1"/>
  </cols>
  <sheetData>
    <row r="2" spans="2:12" s="24" customFormat="1" ht="12.75">
      <c r="B2" s="50"/>
      <c r="C2" s="50"/>
      <c r="D2" s="50"/>
      <c r="E2" s="50"/>
      <c r="F2" s="46"/>
      <c r="G2" s="164"/>
      <c r="H2" s="51"/>
      <c r="I2" s="43"/>
      <c r="J2" s="43"/>
      <c r="K2" s="118"/>
      <c r="L2" s="118"/>
    </row>
    <row r="3" spans="2:12" s="24" customFormat="1" ht="11.25">
      <c r="B3" s="51"/>
      <c r="C3" s="51"/>
      <c r="D3" s="51"/>
      <c r="E3" s="51"/>
      <c r="F3" s="51"/>
      <c r="G3" s="164"/>
      <c r="H3" s="51"/>
      <c r="I3" s="43"/>
      <c r="J3" s="43"/>
      <c r="K3" s="118"/>
      <c r="L3" s="118"/>
    </row>
    <row r="4" spans="2:12" s="24" customFormat="1" ht="12.75">
      <c r="B4" s="977" t="s">
        <v>297</v>
      </c>
      <c r="C4" s="978"/>
      <c r="D4" s="978"/>
      <c r="E4" s="978"/>
      <c r="F4" s="979"/>
      <c r="G4" s="164"/>
      <c r="H4" s="51"/>
      <c r="I4" s="43"/>
      <c r="J4" s="43"/>
      <c r="K4" s="118"/>
      <c r="L4" s="118"/>
    </row>
    <row r="5" spans="1:8" ht="16.5" thickBot="1">
      <c r="A5" s="3"/>
      <c r="B5" s="414"/>
      <c r="C5" s="266"/>
      <c r="D5" s="266"/>
      <c r="E5" s="414"/>
      <c r="F5" s="266"/>
      <c r="G5" s="92"/>
      <c r="H5" s="49"/>
    </row>
    <row r="6" spans="1:6" ht="13.5" thickBot="1">
      <c r="A6" s="334"/>
      <c r="B6" s="980" t="s">
        <v>8</v>
      </c>
      <c r="C6" s="981"/>
      <c r="D6" s="981"/>
      <c r="E6" s="981"/>
      <c r="F6" s="982"/>
    </row>
    <row r="7" spans="1:9" ht="22.5">
      <c r="A7" s="334"/>
      <c r="B7" s="371" t="s">
        <v>24</v>
      </c>
      <c r="C7" s="276" t="s">
        <v>9</v>
      </c>
      <c r="D7" s="276" t="s">
        <v>2</v>
      </c>
      <c r="E7" s="277" t="s">
        <v>174</v>
      </c>
      <c r="F7" s="379" t="s">
        <v>6</v>
      </c>
      <c r="G7" s="92"/>
      <c r="H7" s="49"/>
      <c r="I7" s="27"/>
    </row>
    <row r="8" spans="1:7" ht="12.75">
      <c r="A8" s="334"/>
      <c r="B8" s="281" t="s">
        <v>225</v>
      </c>
      <c r="C8" s="282">
        <v>6.4</v>
      </c>
      <c r="D8" s="282">
        <v>3</v>
      </c>
      <c r="E8" s="299">
        <f>(0.9*2.1)+(1*0.5)</f>
        <v>2.39</v>
      </c>
      <c r="F8" s="372">
        <f aca="true" t="shared" si="0" ref="F8:F14">C8*D8-E8</f>
        <v>16.810000000000002</v>
      </c>
      <c r="G8" s="48"/>
    </row>
    <row r="9" spans="1:18" ht="15.75">
      <c r="A9" s="378"/>
      <c r="B9" s="268" t="s">
        <v>211</v>
      </c>
      <c r="C9" s="269">
        <f>SUM(4+2.5+4+2.5)</f>
        <v>13</v>
      </c>
      <c r="D9" s="269">
        <v>3</v>
      </c>
      <c r="E9" s="300">
        <f>3*(0.9*2.1)+(1.5*1.1)</f>
        <v>7.32</v>
      </c>
      <c r="F9" s="372">
        <f t="shared" si="0"/>
        <v>31.68</v>
      </c>
      <c r="G9" s="4"/>
      <c r="H9" s="49"/>
      <c r="I9" s="27"/>
      <c r="J9" s="5"/>
      <c r="K9" s="5"/>
      <c r="L9" s="5"/>
      <c r="M9" s="7"/>
      <c r="N9" s="7"/>
      <c r="O9" s="7"/>
      <c r="P9" s="7"/>
      <c r="Q9" s="7"/>
      <c r="R9" s="7"/>
    </row>
    <row r="10" spans="1:18" ht="12.75">
      <c r="A10" s="378"/>
      <c r="B10" s="268" t="s">
        <v>212</v>
      </c>
      <c r="C10" s="269">
        <f>SUM(4+2.5+4+2.5)</f>
        <v>13</v>
      </c>
      <c r="D10" s="269">
        <v>3</v>
      </c>
      <c r="E10" s="300">
        <f>(0.9*2.1)*(1.5*1.1)</f>
        <v>3.1185000000000005</v>
      </c>
      <c r="F10" s="372">
        <f t="shared" si="0"/>
        <v>35.8815</v>
      </c>
      <c r="G10" s="4"/>
      <c r="J10" s="5"/>
      <c r="K10" s="5"/>
      <c r="L10" s="5"/>
      <c r="M10" s="7"/>
      <c r="N10" s="7"/>
      <c r="O10" s="7"/>
      <c r="P10" s="7"/>
      <c r="Q10" s="7"/>
      <c r="R10" s="7"/>
    </row>
    <row r="11" spans="1:18" ht="15.75">
      <c r="A11" s="378"/>
      <c r="B11" s="268" t="s">
        <v>226</v>
      </c>
      <c r="C11" s="269">
        <v>7</v>
      </c>
      <c r="D11" s="269">
        <v>3</v>
      </c>
      <c r="E11" s="300">
        <f>(0.9*2.1)+(0.8*0.5)</f>
        <v>2.29</v>
      </c>
      <c r="F11" s="372">
        <f t="shared" si="0"/>
        <v>18.71</v>
      </c>
      <c r="G11" s="305"/>
      <c r="H11" s="49"/>
      <c r="I11" s="27"/>
      <c r="J11" s="5"/>
      <c r="K11" s="5"/>
      <c r="L11" s="5"/>
      <c r="M11" s="7"/>
      <c r="N11" s="7"/>
      <c r="O11" s="7"/>
      <c r="P11" s="7"/>
      <c r="Q11" s="7"/>
      <c r="R11" s="7"/>
    </row>
    <row r="12" spans="1:18" ht="12.75">
      <c r="A12" s="378"/>
      <c r="B12" s="270" t="s">
        <v>227</v>
      </c>
      <c r="C12" s="269">
        <v>7</v>
      </c>
      <c r="D12" s="269">
        <v>3</v>
      </c>
      <c r="E12" s="300">
        <f>SUM('ESQUADRIAS E VIDROS'!J12+'ESQUADRIAS E VIDROS'!J22)</f>
        <v>2.29</v>
      </c>
      <c r="F12" s="372">
        <f t="shared" si="0"/>
        <v>18.71</v>
      </c>
      <c r="G12" s="4"/>
      <c r="H12" s="314"/>
      <c r="I12" s="315"/>
      <c r="J12" s="5"/>
      <c r="K12" s="5"/>
      <c r="L12" s="5"/>
      <c r="M12" s="7"/>
      <c r="N12" s="7"/>
      <c r="O12" s="7"/>
      <c r="P12" s="7"/>
      <c r="Q12" s="7"/>
      <c r="R12" s="7"/>
    </row>
    <row r="13" spans="1:18" ht="15.75">
      <c r="A13" s="378"/>
      <c r="B13" s="270" t="s">
        <v>228</v>
      </c>
      <c r="C13" s="269">
        <v>29.2</v>
      </c>
      <c r="D13" s="269">
        <v>3</v>
      </c>
      <c r="E13" s="300">
        <f>(3*2.1)+2*(2*1.6)+4*(0.9*2.1)</f>
        <v>20.26</v>
      </c>
      <c r="F13" s="372">
        <f t="shared" si="0"/>
        <v>67.33999999999999</v>
      </c>
      <c r="G13" s="4"/>
      <c r="H13" s="49"/>
      <c r="I13" s="27"/>
      <c r="J13" s="5"/>
      <c r="K13" s="5"/>
      <c r="L13" s="5"/>
      <c r="M13" s="7"/>
      <c r="N13" s="7"/>
      <c r="O13" s="7"/>
      <c r="P13" s="7"/>
      <c r="Q13" s="7"/>
      <c r="R13" s="7"/>
    </row>
    <row r="14" spans="1:18" ht="15.75">
      <c r="A14" s="378"/>
      <c r="B14" s="271" t="s">
        <v>230</v>
      </c>
      <c r="C14" s="272">
        <v>13</v>
      </c>
      <c r="D14" s="269">
        <v>3</v>
      </c>
      <c r="E14" s="301">
        <f>(0.9*2.1)+(1.5*1.1)</f>
        <v>3.54</v>
      </c>
      <c r="F14" s="372">
        <f t="shared" si="0"/>
        <v>35.46</v>
      </c>
      <c r="G14" s="4"/>
      <c r="H14" s="49"/>
      <c r="I14" s="27"/>
      <c r="J14" s="5"/>
      <c r="K14" s="5"/>
      <c r="L14" s="5"/>
      <c r="M14" s="7"/>
      <c r="N14" s="7"/>
      <c r="O14" s="7"/>
      <c r="P14" s="7"/>
      <c r="Q14" s="7"/>
      <c r="R14" s="7"/>
    </row>
    <row r="15" spans="1:18" ht="16.5" thickBot="1">
      <c r="A15" s="378"/>
      <c r="B15" s="268" t="s">
        <v>229</v>
      </c>
      <c r="C15" s="269">
        <f>(11.4+14.2)+19.2</f>
        <v>44.8</v>
      </c>
      <c r="D15" s="365">
        <v>5.75</v>
      </c>
      <c r="E15" s="300">
        <v>16.15</v>
      </c>
      <c r="F15" s="373">
        <f>C15*D15-E15</f>
        <v>241.44999999999996</v>
      </c>
      <c r="G15" s="4"/>
      <c r="H15" s="49"/>
      <c r="I15" s="27"/>
      <c r="J15" s="5"/>
      <c r="K15" s="5"/>
      <c r="L15" s="5"/>
      <c r="M15" s="7"/>
      <c r="N15" s="7"/>
      <c r="O15" s="7"/>
      <c r="P15" s="7"/>
      <c r="Q15" s="7"/>
      <c r="R15" s="7"/>
    </row>
    <row r="16" spans="1:18" ht="13.5" thickBot="1">
      <c r="A16" s="378"/>
      <c r="B16" s="984" t="s">
        <v>0</v>
      </c>
      <c r="C16" s="985"/>
      <c r="D16" s="280"/>
      <c r="E16" s="267"/>
      <c r="F16" s="273">
        <f>SUM(F8:F15)</f>
        <v>466.0415</v>
      </c>
      <c r="G16" s="4"/>
      <c r="J16" s="5"/>
      <c r="K16" s="5"/>
      <c r="L16" s="5"/>
      <c r="M16" s="7"/>
      <c r="N16" s="7"/>
      <c r="O16" s="7"/>
      <c r="P16" s="7"/>
      <c r="Q16" s="7"/>
      <c r="R16" s="7"/>
    </row>
    <row r="17" spans="1:18" ht="15.75">
      <c r="A17" s="30"/>
      <c r="B17" s="274"/>
      <c r="C17" s="274"/>
      <c r="D17" s="274"/>
      <c r="E17" s="274"/>
      <c r="F17" s="275"/>
      <c r="G17" s="4"/>
      <c r="H17" s="49"/>
      <c r="I17" s="27"/>
      <c r="J17" s="5"/>
      <c r="K17" s="5"/>
      <c r="L17" s="5"/>
      <c r="M17" s="7"/>
      <c r="N17" s="7"/>
      <c r="O17" s="7"/>
      <c r="P17" s="7"/>
      <c r="Q17" s="7"/>
      <c r="R17" s="7"/>
    </row>
    <row r="18" spans="1:18" ht="16.5" thickBot="1">
      <c r="A18" s="30"/>
      <c r="B18" s="274"/>
      <c r="C18" s="274"/>
      <c r="D18" s="274"/>
      <c r="E18" s="274"/>
      <c r="F18" s="275"/>
      <c r="G18" s="4"/>
      <c r="H18" s="49"/>
      <c r="I18" s="27"/>
      <c r="J18" s="5"/>
      <c r="K18" s="5"/>
      <c r="L18" s="5"/>
      <c r="M18" s="7"/>
      <c r="N18" s="7"/>
      <c r="O18" s="7"/>
      <c r="P18" s="7"/>
      <c r="Q18" s="7"/>
      <c r="R18" s="7"/>
    </row>
    <row r="19" spans="1:18" ht="16.5" thickBot="1">
      <c r="A19" s="30"/>
      <c r="B19" s="980" t="s">
        <v>293</v>
      </c>
      <c r="C19" s="981"/>
      <c r="D19" s="981"/>
      <c r="E19" s="981"/>
      <c r="F19" s="982"/>
      <c r="G19" s="4"/>
      <c r="H19" s="49"/>
      <c r="I19" s="27"/>
      <c r="J19" s="5"/>
      <c r="K19" s="5"/>
      <c r="L19" s="5"/>
      <c r="M19" s="7"/>
      <c r="N19" s="7"/>
      <c r="O19" s="7"/>
      <c r="P19" s="7"/>
      <c r="Q19" s="7"/>
      <c r="R19" s="7"/>
    </row>
    <row r="20" spans="1:18" ht="22.5">
      <c r="A20" s="30"/>
      <c r="B20" s="462" t="s">
        <v>24</v>
      </c>
      <c r="C20" s="362" t="s">
        <v>9</v>
      </c>
      <c r="D20" s="362" t="s">
        <v>2</v>
      </c>
      <c r="E20" s="463" t="s">
        <v>174</v>
      </c>
      <c r="F20" s="379" t="s">
        <v>6</v>
      </c>
      <c r="G20" s="4"/>
      <c r="H20" s="49"/>
      <c r="I20" s="27"/>
      <c r="J20" s="5"/>
      <c r="K20" s="5"/>
      <c r="L20" s="5"/>
      <c r="M20" s="7"/>
      <c r="N20" s="7"/>
      <c r="O20" s="7"/>
      <c r="P20" s="7"/>
      <c r="Q20" s="7"/>
      <c r="R20" s="7"/>
    </row>
    <row r="21" spans="1:18" ht="15.75">
      <c r="A21" s="30"/>
      <c r="B21" s="281" t="s">
        <v>225</v>
      </c>
      <c r="C21" s="308" t="s">
        <v>4</v>
      </c>
      <c r="D21" s="308" t="s">
        <v>4</v>
      </c>
      <c r="E21" s="313" t="s">
        <v>4</v>
      </c>
      <c r="F21" s="375" t="s">
        <v>4</v>
      </c>
      <c r="G21" s="4"/>
      <c r="H21" s="49"/>
      <c r="I21" s="27"/>
      <c r="J21" s="5"/>
      <c r="K21" s="5"/>
      <c r="L21" s="5"/>
      <c r="M21" s="7"/>
      <c r="N21" s="7"/>
      <c r="O21" s="7"/>
      <c r="P21" s="7"/>
      <c r="Q21" s="7"/>
      <c r="R21" s="7"/>
    </row>
    <row r="22" spans="1:18" ht="15.75">
      <c r="A22" s="30"/>
      <c r="B22" s="268" t="s">
        <v>211</v>
      </c>
      <c r="C22" s="269">
        <f>SUM(4+2.5+4+2.5)</f>
        <v>13</v>
      </c>
      <c r="D22" s="269">
        <v>3</v>
      </c>
      <c r="E22" s="300">
        <f>3*(0.9*2.1)+(1.5*1.1)</f>
        <v>7.32</v>
      </c>
      <c r="F22" s="374">
        <f>C22*D22-E22</f>
        <v>31.68</v>
      </c>
      <c r="G22" s="4"/>
      <c r="H22" s="49"/>
      <c r="I22" s="27"/>
      <c r="J22" s="5"/>
      <c r="K22" s="5"/>
      <c r="L22" s="5"/>
      <c r="M22" s="7"/>
      <c r="N22" s="7"/>
      <c r="O22" s="7"/>
      <c r="P22" s="7"/>
      <c r="Q22" s="7"/>
      <c r="R22" s="7"/>
    </row>
    <row r="23" spans="1:18" ht="15.75">
      <c r="A23" s="30"/>
      <c r="B23" s="268" t="s">
        <v>212</v>
      </c>
      <c r="C23" s="269">
        <f>SUM(4+2.5+4+2.5)</f>
        <v>13</v>
      </c>
      <c r="D23" s="269">
        <v>3</v>
      </c>
      <c r="E23" s="300">
        <f>(0.9*2.1)*(1.5*1.1)</f>
        <v>3.1185000000000005</v>
      </c>
      <c r="F23" s="374">
        <f>C23*D23-E23</f>
        <v>35.8815</v>
      </c>
      <c r="G23" s="4"/>
      <c r="H23" s="49"/>
      <c r="I23" s="27"/>
      <c r="J23" s="5"/>
      <c r="K23" s="5"/>
      <c r="L23" s="5"/>
      <c r="M23" s="7"/>
      <c r="N23" s="7"/>
      <c r="O23" s="7"/>
      <c r="P23" s="7"/>
      <c r="Q23" s="7"/>
      <c r="R23" s="7"/>
    </row>
    <row r="24" spans="1:18" ht="15.75">
      <c r="A24" s="30"/>
      <c r="B24" s="268" t="s">
        <v>226</v>
      </c>
      <c r="C24" s="306" t="s">
        <v>4</v>
      </c>
      <c r="D24" s="306" t="s">
        <v>4</v>
      </c>
      <c r="E24" s="307" t="s">
        <v>4</v>
      </c>
      <c r="F24" s="375" t="s">
        <v>4</v>
      </c>
      <c r="G24" s="4"/>
      <c r="H24" s="49"/>
      <c r="I24" s="27"/>
      <c r="J24" s="5"/>
      <c r="K24" s="5"/>
      <c r="L24" s="5"/>
      <c r="M24" s="7"/>
      <c r="N24" s="7"/>
      <c r="O24" s="7"/>
      <c r="P24" s="7"/>
      <c r="Q24" s="7"/>
      <c r="R24" s="7"/>
    </row>
    <row r="25" spans="1:18" ht="15.75">
      <c r="A25" s="30"/>
      <c r="B25" s="270" t="s">
        <v>227</v>
      </c>
      <c r="C25" s="306" t="s">
        <v>4</v>
      </c>
      <c r="D25" s="306" t="s">
        <v>4</v>
      </c>
      <c r="E25" s="307" t="s">
        <v>4</v>
      </c>
      <c r="F25" s="375" t="s">
        <v>4</v>
      </c>
      <c r="G25" s="4"/>
      <c r="H25" s="49"/>
      <c r="I25" s="27"/>
      <c r="J25" s="5"/>
      <c r="K25" s="5"/>
      <c r="L25" s="5"/>
      <c r="M25" s="7"/>
      <c r="N25" s="7"/>
      <c r="O25" s="7"/>
      <c r="P25" s="7"/>
      <c r="Q25" s="7"/>
      <c r="R25" s="7"/>
    </row>
    <row r="26" spans="1:18" ht="15.75">
      <c r="A26" s="30"/>
      <c r="B26" s="270" t="s">
        <v>228</v>
      </c>
      <c r="C26" s="269">
        <v>29.2</v>
      </c>
      <c r="D26" s="269">
        <v>3</v>
      </c>
      <c r="E26" s="300">
        <f>(3*2.1)+2*(2*1.6)+4*(0.9*2.1)</f>
        <v>20.26</v>
      </c>
      <c r="F26" s="374">
        <f>C26*D26-E26</f>
        <v>67.33999999999999</v>
      </c>
      <c r="G26" s="4"/>
      <c r="H26" s="49"/>
      <c r="I26" s="27"/>
      <c r="J26" s="5"/>
      <c r="K26" s="5"/>
      <c r="L26" s="5"/>
      <c r="M26" s="7"/>
      <c r="N26" s="7"/>
      <c r="O26" s="7"/>
      <c r="P26" s="7"/>
      <c r="Q26" s="7"/>
      <c r="R26" s="7"/>
    </row>
    <row r="27" spans="1:18" ht="15.75">
      <c r="A27" s="30"/>
      <c r="B27" s="271" t="s">
        <v>230</v>
      </c>
      <c r="C27" s="272">
        <v>13</v>
      </c>
      <c r="D27" s="269">
        <v>3</v>
      </c>
      <c r="E27" s="301">
        <f>(0.9*2.1)+(1.5*1.1)</f>
        <v>3.54</v>
      </c>
      <c r="F27" s="374">
        <f>C27*D27-E27</f>
        <v>35.46</v>
      </c>
      <c r="G27" s="4"/>
      <c r="H27" s="49"/>
      <c r="I27" s="27"/>
      <c r="J27" s="5"/>
      <c r="K27" s="5"/>
      <c r="L27" s="5"/>
      <c r="M27" s="7"/>
      <c r="N27" s="7"/>
      <c r="O27" s="7"/>
      <c r="P27" s="7"/>
      <c r="Q27" s="7"/>
      <c r="R27" s="7"/>
    </row>
    <row r="28" spans="1:18" ht="16.5" thickBot="1">
      <c r="A28" s="30"/>
      <c r="B28" s="268" t="s">
        <v>229</v>
      </c>
      <c r="C28" s="269">
        <f>C15</f>
        <v>44.8</v>
      </c>
      <c r="D28" s="365">
        <f>D15</f>
        <v>5.75</v>
      </c>
      <c r="E28" s="300">
        <f>E15</f>
        <v>16.15</v>
      </c>
      <c r="F28" s="380">
        <f>C28*D28-E28</f>
        <v>241.44999999999996</v>
      </c>
      <c r="G28" s="4"/>
      <c r="H28" s="49"/>
      <c r="I28" s="27"/>
      <c r="J28" s="5"/>
      <c r="K28" s="5"/>
      <c r="L28" s="5"/>
      <c r="M28" s="7"/>
      <c r="N28" s="7"/>
      <c r="O28" s="7"/>
      <c r="P28" s="7"/>
      <c r="Q28" s="7"/>
      <c r="R28" s="7"/>
    </row>
    <row r="29" spans="1:18" ht="16.5" thickBot="1">
      <c r="A29" s="30"/>
      <c r="B29" s="984" t="s">
        <v>0</v>
      </c>
      <c r="C29" s="985"/>
      <c r="D29" s="280"/>
      <c r="E29" s="267"/>
      <c r="F29" s="273">
        <f>SUM(F21:F28)</f>
        <v>411.81149999999997</v>
      </c>
      <c r="G29" s="4"/>
      <c r="H29" s="49"/>
      <c r="I29" s="27"/>
      <c r="J29" s="5"/>
      <c r="K29" s="5"/>
      <c r="L29" s="5"/>
      <c r="M29" s="7"/>
      <c r="N29" s="7"/>
      <c r="O29" s="7"/>
      <c r="P29" s="7"/>
      <c r="Q29" s="7"/>
      <c r="R29" s="7"/>
    </row>
    <row r="30" spans="1:18" ht="15.75">
      <c r="A30" s="30"/>
      <c r="B30" s="274"/>
      <c r="C30" s="274"/>
      <c r="D30" s="274"/>
      <c r="E30" s="274"/>
      <c r="F30" s="275"/>
      <c r="G30" s="4"/>
      <c r="H30" s="49"/>
      <c r="I30" s="27"/>
      <c r="J30" s="5"/>
      <c r="K30" s="5"/>
      <c r="L30" s="5"/>
      <c r="M30" s="7"/>
      <c r="N30" s="7"/>
      <c r="O30" s="7"/>
      <c r="P30" s="7"/>
      <c r="Q30" s="7"/>
      <c r="R30" s="7"/>
    </row>
    <row r="31" spans="1:18" ht="16.5" thickBot="1">
      <c r="A31" s="30"/>
      <c r="B31" s="274"/>
      <c r="C31" s="274"/>
      <c r="D31" s="274"/>
      <c r="E31" s="274"/>
      <c r="F31" s="275"/>
      <c r="G31" s="4"/>
      <c r="H31" s="49"/>
      <c r="I31" s="27"/>
      <c r="J31" s="5"/>
      <c r="K31" s="5"/>
      <c r="L31" s="5"/>
      <c r="M31" s="7"/>
      <c r="N31" s="7"/>
      <c r="O31" s="7"/>
      <c r="P31" s="7"/>
      <c r="Q31" s="7"/>
      <c r="R31" s="7"/>
    </row>
    <row r="32" spans="1:18" ht="13.5" thickBot="1">
      <c r="A32" s="378"/>
      <c r="B32" s="980" t="s">
        <v>236</v>
      </c>
      <c r="C32" s="981"/>
      <c r="D32" s="981"/>
      <c r="E32" s="981"/>
      <c r="F32" s="982"/>
      <c r="G32" s="4"/>
      <c r="J32" s="5"/>
      <c r="K32" s="5"/>
      <c r="L32" s="5"/>
      <c r="M32" s="7"/>
      <c r="N32" s="7"/>
      <c r="O32" s="7"/>
      <c r="P32" s="7"/>
      <c r="Q32" s="7"/>
      <c r="R32" s="7"/>
    </row>
    <row r="33" spans="1:18" ht="22.5">
      <c r="A33" s="378"/>
      <c r="B33" s="371" t="s">
        <v>24</v>
      </c>
      <c r="C33" s="276" t="s">
        <v>9</v>
      </c>
      <c r="D33" s="276" t="s">
        <v>2</v>
      </c>
      <c r="E33" s="277" t="s">
        <v>174</v>
      </c>
      <c r="F33" s="379" t="s">
        <v>6</v>
      </c>
      <c r="G33" s="4"/>
      <c r="H33" s="49"/>
      <c r="I33" s="27"/>
      <c r="J33" s="5"/>
      <c r="K33" s="5"/>
      <c r="L33" s="5"/>
      <c r="M33" s="7"/>
      <c r="N33" s="7"/>
      <c r="O33" s="7"/>
      <c r="P33" s="7"/>
      <c r="Q33" s="7"/>
      <c r="R33" s="7"/>
    </row>
    <row r="34" spans="1:18" ht="12.75">
      <c r="A34" s="378"/>
      <c r="B34" s="281" t="s">
        <v>225</v>
      </c>
      <c r="C34" s="282">
        <v>6.4</v>
      </c>
      <c r="D34" s="282">
        <v>3</v>
      </c>
      <c r="E34" s="299">
        <f>(0.9*2.1)+(1*0.5)</f>
        <v>2.39</v>
      </c>
      <c r="F34" s="374">
        <f>C34*D34-E34</f>
        <v>16.810000000000002</v>
      </c>
      <c r="G34" s="4"/>
      <c r="J34" s="5"/>
      <c r="K34" s="5"/>
      <c r="L34" s="5"/>
      <c r="M34" s="7"/>
      <c r="N34" s="7"/>
      <c r="O34" s="7"/>
      <c r="P34" s="7"/>
      <c r="Q34" s="7"/>
      <c r="R34" s="7"/>
    </row>
    <row r="35" spans="1:18" ht="12.75">
      <c r="A35" s="378"/>
      <c r="B35" s="268" t="s">
        <v>211</v>
      </c>
      <c r="C35" s="306" t="s">
        <v>4</v>
      </c>
      <c r="D35" s="306" t="s">
        <v>4</v>
      </c>
      <c r="E35" s="307" t="s">
        <v>4</v>
      </c>
      <c r="F35" s="375" t="s">
        <v>4</v>
      </c>
      <c r="G35" s="4"/>
      <c r="J35" s="5"/>
      <c r="K35" s="5"/>
      <c r="L35" s="5"/>
      <c r="M35" s="7"/>
      <c r="N35" s="7"/>
      <c r="O35" s="7"/>
      <c r="P35" s="7"/>
      <c r="Q35" s="7"/>
      <c r="R35" s="7"/>
    </row>
    <row r="36" spans="1:18" ht="12.75">
      <c r="A36" s="378"/>
      <c r="B36" s="268" t="s">
        <v>212</v>
      </c>
      <c r="C36" s="306" t="s">
        <v>4</v>
      </c>
      <c r="D36" s="306" t="s">
        <v>4</v>
      </c>
      <c r="E36" s="307" t="s">
        <v>4</v>
      </c>
      <c r="F36" s="375" t="s">
        <v>4</v>
      </c>
      <c r="G36" s="4"/>
      <c r="H36" s="120"/>
      <c r="I36" s="121"/>
      <c r="J36" s="5"/>
      <c r="K36" s="5"/>
      <c r="L36" s="5"/>
      <c r="M36" s="7"/>
      <c r="N36" s="7"/>
      <c r="O36" s="7"/>
      <c r="P36" s="7"/>
      <c r="Q36" s="7"/>
      <c r="R36" s="7"/>
    </row>
    <row r="37" spans="1:18" ht="12.75">
      <c r="A37" s="378"/>
      <c r="B37" s="268" t="s">
        <v>226</v>
      </c>
      <c r="C37" s="269">
        <v>7</v>
      </c>
      <c r="D37" s="269">
        <v>3</v>
      </c>
      <c r="E37" s="300">
        <f>(0.9*2.1)+(0.8*0.5)</f>
        <v>2.29</v>
      </c>
      <c r="F37" s="374">
        <f>C37*D37-E37</f>
        <v>18.71</v>
      </c>
      <c r="G37" s="4"/>
      <c r="H37" s="120"/>
      <c r="I37" s="121"/>
      <c r="J37" s="5"/>
      <c r="K37" s="5"/>
      <c r="L37" s="5"/>
      <c r="M37" s="7"/>
      <c r="N37" s="7"/>
      <c r="O37" s="7"/>
      <c r="P37" s="7"/>
      <c r="Q37" s="7"/>
      <c r="R37" s="7"/>
    </row>
    <row r="38" spans="1:18" ht="12.75">
      <c r="A38" s="378"/>
      <c r="B38" s="270" t="s">
        <v>423</v>
      </c>
      <c r="C38" s="269">
        <v>7</v>
      </c>
      <c r="D38" s="269">
        <v>3</v>
      </c>
      <c r="E38" s="300">
        <f>(0.9*2.1)+(0.8*0.5)</f>
        <v>2.29</v>
      </c>
      <c r="F38" s="374">
        <f>C38*D38-E38</f>
        <v>18.71</v>
      </c>
      <c r="G38" s="4"/>
      <c r="H38" s="120"/>
      <c r="I38" s="121"/>
      <c r="J38" s="5"/>
      <c r="K38" s="5"/>
      <c r="L38" s="5"/>
      <c r="M38" s="7"/>
      <c r="N38" s="7"/>
      <c r="O38" s="7"/>
      <c r="P38" s="7"/>
      <c r="Q38" s="7"/>
      <c r="R38" s="7"/>
    </row>
    <row r="39" spans="1:18" ht="12.75">
      <c r="A39" s="378"/>
      <c r="B39" s="270" t="s">
        <v>228</v>
      </c>
      <c r="C39" s="306" t="s">
        <v>4</v>
      </c>
      <c r="D39" s="306" t="s">
        <v>4</v>
      </c>
      <c r="E39" s="307" t="s">
        <v>4</v>
      </c>
      <c r="F39" s="376" t="s">
        <v>4</v>
      </c>
      <c r="G39" s="4"/>
      <c r="H39" s="120"/>
      <c r="I39" s="121"/>
      <c r="J39" s="5"/>
      <c r="K39" s="5"/>
      <c r="L39" s="5"/>
      <c r="M39" s="7"/>
      <c r="N39" s="7"/>
      <c r="O39" s="7"/>
      <c r="P39" s="7"/>
      <c r="Q39" s="7"/>
      <c r="R39" s="7"/>
    </row>
    <row r="40" spans="1:18" ht="12.75">
      <c r="A40" s="378"/>
      <c r="B40" s="271" t="s">
        <v>230</v>
      </c>
      <c r="C40" s="309" t="s">
        <v>4</v>
      </c>
      <c r="D40" s="306" t="s">
        <v>4</v>
      </c>
      <c r="E40" s="310" t="s">
        <v>4</v>
      </c>
      <c r="F40" s="376" t="s">
        <v>4</v>
      </c>
      <c r="G40" s="4"/>
      <c r="H40" s="120"/>
      <c r="I40" s="121"/>
      <c r="J40" s="5"/>
      <c r="K40" s="5"/>
      <c r="L40" s="5"/>
      <c r="M40" s="7"/>
      <c r="N40" s="7"/>
      <c r="O40" s="7"/>
      <c r="P40" s="7"/>
      <c r="Q40" s="7"/>
      <c r="R40" s="7"/>
    </row>
    <row r="41" spans="1:18" ht="13.5" thickBot="1">
      <c r="A41" s="378"/>
      <c r="B41" s="278" t="s">
        <v>229</v>
      </c>
      <c r="C41" s="311" t="s">
        <v>4</v>
      </c>
      <c r="D41" s="311" t="s">
        <v>4</v>
      </c>
      <c r="E41" s="312" t="s">
        <v>4</v>
      </c>
      <c r="F41" s="377" t="s">
        <v>4</v>
      </c>
      <c r="G41" s="4"/>
      <c r="H41" s="120"/>
      <c r="I41" s="121"/>
      <c r="J41" s="5"/>
      <c r="K41" s="5"/>
      <c r="L41" s="5"/>
      <c r="M41" s="7"/>
      <c r="N41" s="7"/>
      <c r="O41" s="7"/>
      <c r="P41" s="7"/>
      <c r="Q41" s="7"/>
      <c r="R41" s="7"/>
    </row>
    <row r="42" spans="1:18" ht="13.5" thickBot="1">
      <c r="A42" s="378"/>
      <c r="B42" s="984" t="s">
        <v>0</v>
      </c>
      <c r="C42" s="985"/>
      <c r="D42" s="280"/>
      <c r="E42" s="267"/>
      <c r="F42" s="279">
        <f>SUM(F34:F41)</f>
        <v>54.230000000000004</v>
      </c>
      <c r="G42" s="4"/>
      <c r="H42" s="120"/>
      <c r="I42" s="121"/>
      <c r="J42" s="5"/>
      <c r="K42" s="5"/>
      <c r="L42" s="5"/>
      <c r="M42" s="7"/>
      <c r="N42" s="7"/>
      <c r="O42" s="7"/>
      <c r="P42" s="7"/>
      <c r="Q42" s="7"/>
      <c r="R42" s="7"/>
    </row>
    <row r="43" spans="1:18" ht="12.75">
      <c r="A43" s="30"/>
      <c r="B43" s="302"/>
      <c r="C43" s="303"/>
      <c r="D43" s="303"/>
      <c r="E43" s="303"/>
      <c r="F43" s="304"/>
      <c r="G43" s="4"/>
      <c r="H43" s="120"/>
      <c r="I43" s="121"/>
      <c r="J43" s="5"/>
      <c r="K43" s="5"/>
      <c r="L43" s="5"/>
      <c r="M43" s="7"/>
      <c r="N43" s="7"/>
      <c r="O43" s="7"/>
      <c r="P43" s="7"/>
      <c r="Q43" s="7"/>
      <c r="R43" s="7"/>
    </row>
    <row r="44" spans="1:18" ht="13.5" thickBot="1">
      <c r="A44" s="30"/>
      <c r="B44" s="445"/>
      <c r="G44" s="4"/>
      <c r="H44" s="120"/>
      <c r="I44" s="121"/>
      <c r="J44" s="5"/>
      <c r="K44" s="5"/>
      <c r="L44" s="5"/>
      <c r="M44" s="7"/>
      <c r="N44" s="7"/>
      <c r="O44" s="7"/>
      <c r="P44" s="7"/>
      <c r="Q44" s="7"/>
      <c r="R44" s="7"/>
    </row>
    <row r="45" spans="1:18" ht="12.75">
      <c r="A45" s="378"/>
      <c r="G45" s="4"/>
      <c r="H45" s="120"/>
      <c r="I45" s="121"/>
      <c r="J45" s="5"/>
      <c r="K45" s="5"/>
      <c r="L45" s="5"/>
      <c r="M45" s="7"/>
      <c r="N45" s="7"/>
      <c r="O45" s="7"/>
      <c r="P45" s="7"/>
      <c r="Q45" s="7"/>
      <c r="R45" s="7"/>
    </row>
    <row r="46" spans="1:18" ht="12.75">
      <c r="A46" s="30"/>
      <c r="G46" s="4"/>
      <c r="H46" s="120"/>
      <c r="I46" s="121"/>
      <c r="J46" s="5"/>
      <c r="K46" s="5"/>
      <c r="L46" s="5"/>
      <c r="M46" s="7"/>
      <c r="N46" s="7"/>
      <c r="O46" s="7"/>
      <c r="P46" s="7"/>
      <c r="Q46" s="7"/>
      <c r="R46" s="7"/>
    </row>
    <row r="47" spans="1:18" ht="12.75">
      <c r="A47" s="30"/>
      <c r="G47" s="4"/>
      <c r="H47" s="120"/>
      <c r="I47" s="121"/>
      <c r="J47" s="5"/>
      <c r="K47" s="5"/>
      <c r="L47" s="5"/>
      <c r="M47" s="7"/>
      <c r="N47" s="7"/>
      <c r="O47" s="7"/>
      <c r="P47" s="7"/>
      <c r="Q47" s="7"/>
      <c r="R47" s="7"/>
    </row>
    <row r="48" spans="1:18" ht="12.75">
      <c r="A48" s="30"/>
      <c r="G48" s="4"/>
      <c r="H48" s="120"/>
      <c r="I48" s="121"/>
      <c r="J48" s="5"/>
      <c r="K48" s="5"/>
      <c r="L48" s="5"/>
      <c r="M48" s="7"/>
      <c r="N48" s="7"/>
      <c r="O48" s="7"/>
      <c r="P48" s="7"/>
      <c r="Q48" s="7"/>
      <c r="R48" s="7"/>
    </row>
    <row r="49" spans="1:18" ht="12.75">
      <c r="A49" s="30"/>
      <c r="G49" s="4"/>
      <c r="H49" s="120"/>
      <c r="I49" s="121"/>
      <c r="J49" s="5"/>
      <c r="K49" s="5"/>
      <c r="L49" s="5"/>
      <c r="M49" s="7"/>
      <c r="N49" s="7"/>
      <c r="O49" s="7"/>
      <c r="P49" s="7"/>
      <c r="Q49" s="7"/>
      <c r="R49" s="7"/>
    </row>
    <row r="50" spans="1:18" ht="12.75">
      <c r="A50" s="30"/>
      <c r="G50" s="4"/>
      <c r="H50" s="120"/>
      <c r="I50" s="121"/>
      <c r="J50" s="5"/>
      <c r="K50" s="5"/>
      <c r="L50" s="5"/>
      <c r="M50" s="7"/>
      <c r="N50" s="7"/>
      <c r="O50" s="7"/>
      <c r="P50" s="7"/>
      <c r="Q50" s="7"/>
      <c r="R50" s="7"/>
    </row>
    <row r="51" spans="1:18" ht="12.75">
      <c r="A51" s="30"/>
      <c r="G51" s="4"/>
      <c r="H51" s="120"/>
      <c r="I51" s="121"/>
      <c r="J51" s="5"/>
      <c r="K51" s="5"/>
      <c r="L51" s="5"/>
      <c r="M51" s="7"/>
      <c r="N51" s="7"/>
      <c r="O51" s="7"/>
      <c r="P51" s="7"/>
      <c r="Q51" s="7"/>
      <c r="R51" s="7"/>
    </row>
    <row r="52" spans="1:18" ht="12.75">
      <c r="A52" s="30"/>
      <c r="G52" s="4"/>
      <c r="H52" s="120"/>
      <c r="I52" s="121"/>
      <c r="J52" s="5"/>
      <c r="K52" s="5"/>
      <c r="L52" s="5"/>
      <c r="M52" s="7"/>
      <c r="N52" s="7"/>
      <c r="O52" s="7"/>
      <c r="P52" s="7"/>
      <c r="Q52" s="7"/>
      <c r="R52" s="7"/>
    </row>
    <row r="53" spans="1:18" ht="12.75">
      <c r="A53" s="30"/>
      <c r="G53" s="4"/>
      <c r="H53" s="120"/>
      <c r="I53" s="121"/>
      <c r="J53" s="5"/>
      <c r="K53" s="5"/>
      <c r="L53" s="5"/>
      <c r="M53" s="7"/>
      <c r="N53" s="7"/>
      <c r="O53" s="7"/>
      <c r="P53" s="7"/>
      <c r="Q53" s="7"/>
      <c r="R53" s="7"/>
    </row>
    <row r="54" spans="1:18" ht="12.75">
      <c r="A54" s="30"/>
      <c r="G54" s="4"/>
      <c r="H54" s="120"/>
      <c r="I54" s="121"/>
      <c r="J54" s="5"/>
      <c r="K54" s="5"/>
      <c r="L54" s="5"/>
      <c r="M54" s="7"/>
      <c r="N54" s="7"/>
      <c r="O54" s="7"/>
      <c r="P54" s="7"/>
      <c r="Q54" s="7"/>
      <c r="R54" s="7"/>
    </row>
    <row r="55" spans="1:18" ht="12.75">
      <c r="A55" s="30"/>
      <c r="G55" s="4"/>
      <c r="H55" s="120"/>
      <c r="I55" s="121"/>
      <c r="J55" s="5"/>
      <c r="K55" s="5"/>
      <c r="L55" s="5"/>
      <c r="M55" s="7"/>
      <c r="N55" s="7"/>
      <c r="O55" s="7"/>
      <c r="P55" s="7"/>
      <c r="Q55" s="7"/>
      <c r="R55" s="7"/>
    </row>
    <row r="56" spans="1:18" ht="12.75">
      <c r="A56" s="30"/>
      <c r="B56" s="302"/>
      <c r="C56" s="303"/>
      <c r="D56" s="303"/>
      <c r="E56" s="303"/>
      <c r="F56" s="304"/>
      <c r="G56" s="4"/>
      <c r="H56" s="120"/>
      <c r="I56" s="121"/>
      <c r="J56" s="5"/>
      <c r="K56" s="5"/>
      <c r="L56" s="5"/>
      <c r="M56" s="7"/>
      <c r="N56" s="7"/>
      <c r="O56" s="7"/>
      <c r="P56" s="7"/>
      <c r="Q56" s="7"/>
      <c r="R56" s="7"/>
    </row>
    <row r="57" spans="1:18" ht="12.75">
      <c r="A57" s="30"/>
      <c r="B57" s="983"/>
      <c r="C57" s="983"/>
      <c r="D57" s="983"/>
      <c r="E57" s="983"/>
      <c r="F57" s="983"/>
      <c r="G57" s="4"/>
      <c r="H57" s="120"/>
      <c r="I57" s="121"/>
      <c r="J57" s="5"/>
      <c r="K57" s="5"/>
      <c r="L57" s="5"/>
      <c r="M57" s="7"/>
      <c r="N57" s="7"/>
      <c r="O57" s="7"/>
      <c r="P57" s="7"/>
      <c r="Q57" s="7"/>
      <c r="R57" s="7"/>
    </row>
    <row r="58" spans="1:18" ht="12.75">
      <c r="A58" s="30"/>
      <c r="B58" s="302"/>
      <c r="C58" s="303"/>
      <c r="D58" s="303"/>
      <c r="E58" s="303"/>
      <c r="F58" s="304"/>
      <c r="G58" s="4"/>
      <c r="H58" s="120"/>
      <c r="I58" s="121"/>
      <c r="J58" s="5"/>
      <c r="K58" s="5"/>
      <c r="L58" s="5"/>
      <c r="M58" s="7"/>
      <c r="N58" s="7"/>
      <c r="O58" s="7"/>
      <c r="P58" s="7"/>
      <c r="Q58" s="7"/>
      <c r="R58" s="7"/>
    </row>
    <row r="59" spans="1:18" ht="12.75">
      <c r="A59" s="30"/>
      <c r="B59" s="302"/>
      <c r="C59" s="303"/>
      <c r="D59" s="303"/>
      <c r="E59" s="303"/>
      <c r="F59" s="304"/>
      <c r="G59" s="4"/>
      <c r="H59" s="120"/>
      <c r="I59" s="121"/>
      <c r="J59" s="5"/>
      <c r="K59" s="5"/>
      <c r="L59" s="5"/>
      <c r="M59" s="7"/>
      <c r="N59" s="7"/>
      <c r="O59" s="7"/>
      <c r="P59" s="7"/>
      <c r="Q59" s="7"/>
      <c r="R59" s="7"/>
    </row>
    <row r="60" spans="1:18" ht="12.75">
      <c r="A60" s="30"/>
      <c r="B60" s="302"/>
      <c r="C60" s="303"/>
      <c r="D60" s="303"/>
      <c r="E60" s="303"/>
      <c r="F60" s="304"/>
      <c r="G60" s="4"/>
      <c r="H60" s="120"/>
      <c r="I60" s="121"/>
      <c r="J60" s="5"/>
      <c r="K60" s="5"/>
      <c r="L60" s="5"/>
      <c r="M60" s="7"/>
      <c r="N60" s="7"/>
      <c r="O60" s="7"/>
      <c r="P60" s="7"/>
      <c r="Q60" s="7"/>
      <c r="R60" s="7"/>
    </row>
    <row r="61" spans="1:18" ht="12.75">
      <c r="A61" s="30"/>
      <c r="B61" s="302"/>
      <c r="C61" s="303"/>
      <c r="D61" s="303"/>
      <c r="E61" s="303"/>
      <c r="F61" s="304"/>
      <c r="G61" s="4"/>
      <c r="H61" s="120"/>
      <c r="I61" s="121"/>
      <c r="J61" s="5"/>
      <c r="K61" s="5"/>
      <c r="L61" s="5"/>
      <c r="M61" s="7"/>
      <c r="N61" s="7"/>
      <c r="O61" s="7"/>
      <c r="P61" s="7"/>
      <c r="Q61" s="7"/>
      <c r="R61" s="7"/>
    </row>
    <row r="62" spans="1:18" ht="12.75">
      <c r="A62" s="30"/>
      <c r="B62" s="302"/>
      <c r="C62" s="303"/>
      <c r="D62" s="303"/>
      <c r="E62" s="303"/>
      <c r="F62" s="304"/>
      <c r="G62" s="4"/>
      <c r="H62" s="120"/>
      <c r="I62" s="121"/>
      <c r="J62" s="5"/>
      <c r="K62" s="5"/>
      <c r="L62" s="5"/>
      <c r="M62" s="7"/>
      <c r="N62" s="7"/>
      <c r="O62" s="7"/>
      <c r="P62" s="7"/>
      <c r="Q62" s="7"/>
      <c r="R62" s="7"/>
    </row>
    <row r="63" spans="1:18" ht="12.75">
      <c r="A63" s="30"/>
      <c r="B63" s="302"/>
      <c r="C63" s="303"/>
      <c r="D63" s="303"/>
      <c r="E63" s="303"/>
      <c r="F63" s="304"/>
      <c r="G63" s="4"/>
      <c r="H63" s="120"/>
      <c r="I63" s="121"/>
      <c r="J63" s="5"/>
      <c r="K63" s="5"/>
      <c r="L63" s="5"/>
      <c r="M63" s="7"/>
      <c r="N63" s="7"/>
      <c r="O63" s="7"/>
      <c r="P63" s="7"/>
      <c r="Q63" s="7"/>
      <c r="R63" s="7"/>
    </row>
    <row r="66" ht="12.75">
      <c r="F66" s="176"/>
    </row>
    <row r="67" spans="2:6" ht="12.75">
      <c r="B67" s="213"/>
      <c r="C67" s="214"/>
      <c r="D67" s="213"/>
      <c r="E67" s="213"/>
      <c r="F67" s="213"/>
    </row>
    <row r="68" spans="2:6" ht="12.75">
      <c r="B68" s="213"/>
      <c r="C68" s="213"/>
      <c r="D68" s="213"/>
      <c r="E68" s="213"/>
      <c r="F68" s="213"/>
    </row>
    <row r="69" spans="2:6" ht="12.75">
      <c r="B69" s="213"/>
      <c r="C69" s="213"/>
      <c r="D69" s="213"/>
      <c r="E69" s="213"/>
      <c r="F69" s="213"/>
    </row>
    <row r="70" spans="2:6" ht="18">
      <c r="B70" s="215"/>
      <c r="C70" s="216"/>
      <c r="D70" s="216"/>
      <c r="E70" s="213"/>
      <c r="F70" s="213"/>
    </row>
    <row r="71" spans="2:6" ht="18">
      <c r="B71" s="215"/>
      <c r="C71" s="216"/>
      <c r="D71" s="216"/>
      <c r="E71" s="213"/>
      <c r="F71" s="213"/>
    </row>
    <row r="72" spans="2:6" ht="18">
      <c r="B72" s="215"/>
      <c r="C72" s="216"/>
      <c r="D72" s="216"/>
      <c r="E72" s="213"/>
      <c r="F72" s="213"/>
    </row>
    <row r="73" spans="2:6" ht="12.75">
      <c r="B73" s="213"/>
      <c r="C73" s="213"/>
      <c r="D73" s="213"/>
      <c r="E73" s="213"/>
      <c r="F73" s="213"/>
    </row>
    <row r="74" spans="2:6" ht="12.75">
      <c r="B74" s="213"/>
      <c r="C74" s="213"/>
      <c r="D74" s="213"/>
      <c r="E74" s="213"/>
      <c r="F74" s="213"/>
    </row>
    <row r="75" spans="2:6" ht="12.75">
      <c r="B75" s="213"/>
      <c r="C75" s="213"/>
      <c r="D75" s="213"/>
      <c r="E75" s="213"/>
      <c r="F75" s="213"/>
    </row>
    <row r="76" spans="2:6" ht="12.75">
      <c r="B76" s="213"/>
      <c r="C76" s="213"/>
      <c r="D76" s="213"/>
      <c r="E76" s="213"/>
      <c r="F76" s="213"/>
    </row>
    <row r="77" spans="2:6" ht="12.75">
      <c r="B77" s="213"/>
      <c r="C77" s="213"/>
      <c r="D77" s="213"/>
      <c r="E77" s="213"/>
      <c r="F77" s="213"/>
    </row>
  </sheetData>
  <sheetProtection/>
  <mergeCells count="8">
    <mergeCell ref="B4:F4"/>
    <mergeCell ref="B6:F6"/>
    <mergeCell ref="B57:F57"/>
    <mergeCell ref="B16:C16"/>
    <mergeCell ref="B42:C42"/>
    <mergeCell ref="B32:F32"/>
    <mergeCell ref="B19:F19"/>
    <mergeCell ref="B29:C29"/>
  </mergeCells>
  <printOptions horizontalCentered="1"/>
  <pageMargins left="0.3937007874015748" right="0.3937007874015748" top="0.7874015748031497" bottom="0.984251968503937" header="0.5118110236220472" footer="0.5118110236220472"/>
  <pageSetup fitToHeight="2" horizontalDpi="600" verticalDpi="6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5:K71"/>
  <sheetViews>
    <sheetView view="pageBreakPreview" zoomScale="115" zoomScaleNormal="160" zoomScaleSheetLayoutView="115" zoomScalePageLayoutView="0" workbookViewId="0" topLeftCell="A37">
      <selection activeCell="K52" sqref="K52"/>
    </sheetView>
  </sheetViews>
  <sheetFormatPr defaultColWidth="9.140625" defaultRowHeight="12.75"/>
  <cols>
    <col min="1" max="1" width="10.00390625" style="3" customWidth="1"/>
    <col min="2" max="2" width="2.00390625" style="74" customWidth="1"/>
    <col min="3" max="3" width="26.421875" style="58" customWidth="1"/>
    <col min="4" max="4" width="13.57421875" style="58" customWidth="1"/>
    <col min="5" max="6" width="12.7109375" style="58" customWidth="1"/>
    <col min="7" max="7" width="15.7109375" style="58" customWidth="1"/>
    <col min="8" max="8" width="6.8515625" style="91" customWidth="1"/>
    <col min="9" max="9" width="7.8515625" style="0" customWidth="1"/>
    <col min="10" max="10" width="18.8515625" style="3" customWidth="1"/>
    <col min="11" max="11" width="7.28125" style="3" customWidth="1"/>
    <col min="12" max="12" width="6.140625" style="0" customWidth="1"/>
  </cols>
  <sheetData>
    <row r="5" spans="3:11" ht="12.75">
      <c r="C5" s="888"/>
      <c r="D5" s="888"/>
      <c r="E5" s="888"/>
      <c r="F5" s="888"/>
      <c r="G5" s="888"/>
      <c r="H5" s="20"/>
      <c r="I5" s="50"/>
      <c r="J5" s="186"/>
      <c r="K5" s="186"/>
    </row>
    <row r="6" spans="3:11" ht="12.75">
      <c r="C6" s="50"/>
      <c r="D6" s="50"/>
      <c r="E6" s="50"/>
      <c r="F6" s="50"/>
      <c r="G6" s="50"/>
      <c r="H6" s="4"/>
      <c r="I6" s="50"/>
      <c r="J6" s="186"/>
      <c r="K6" s="186"/>
    </row>
    <row r="7" spans="3:11" ht="12.75">
      <c r="C7" s="1017"/>
      <c r="D7" s="1017"/>
      <c r="E7" s="1017"/>
      <c r="F7" s="1017"/>
      <c r="G7" s="1017"/>
      <c r="H7" s="1017"/>
      <c r="I7" s="1017"/>
      <c r="J7" s="1017"/>
      <c r="K7" s="1017"/>
    </row>
    <row r="8" spans="3:11" ht="15.75">
      <c r="C8" s="977" t="s">
        <v>380</v>
      </c>
      <c r="D8" s="978"/>
      <c r="E8" s="978"/>
      <c r="F8" s="978"/>
      <c r="G8" s="979"/>
      <c r="H8" s="415"/>
      <c r="I8" s="415"/>
      <c r="J8" s="51"/>
      <c r="K8" s="51"/>
    </row>
    <row r="9" spans="3:11" ht="13.5" thickBot="1">
      <c r="C9" s="263"/>
      <c r="D9" s="263"/>
      <c r="E9" s="263"/>
      <c r="F9" s="263"/>
      <c r="G9" s="263"/>
      <c r="H9" s="164"/>
      <c r="I9" s="43"/>
      <c r="J9" s="43"/>
      <c r="K9" s="43"/>
    </row>
    <row r="10" spans="3:11" ht="13.5" thickBot="1">
      <c r="C10" s="1014" t="s">
        <v>175</v>
      </c>
      <c r="D10" s="1015"/>
      <c r="E10" s="1015"/>
      <c r="F10" s="1015"/>
      <c r="G10" s="1016"/>
      <c r="H10" s="164"/>
      <c r="I10" s="51"/>
      <c r="J10" s="51"/>
      <c r="K10" s="51"/>
    </row>
    <row r="11" spans="3:11" ht="12.75">
      <c r="C11" s="258" t="s">
        <v>24</v>
      </c>
      <c r="D11" s="259" t="s">
        <v>9</v>
      </c>
      <c r="E11" s="1027" t="s">
        <v>27</v>
      </c>
      <c r="F11" s="1028"/>
      <c r="G11" s="260" t="s">
        <v>26</v>
      </c>
      <c r="H11" s="991"/>
      <c r="I11" s="990"/>
      <c r="J11" s="990"/>
      <c r="K11" s="181"/>
    </row>
    <row r="12" spans="3:11" ht="12.75">
      <c r="C12" s="258" t="s">
        <v>211</v>
      </c>
      <c r="D12" s="316">
        <v>13</v>
      </c>
      <c r="E12" s="849">
        <v>10</v>
      </c>
      <c r="F12" s="850"/>
      <c r="G12" s="317">
        <f>E12</f>
        <v>10</v>
      </c>
      <c r="H12" s="181"/>
      <c r="I12" s="181"/>
      <c r="J12" s="181"/>
      <c r="K12" s="181"/>
    </row>
    <row r="13" spans="3:11" ht="12.75">
      <c r="C13" s="258" t="s">
        <v>212</v>
      </c>
      <c r="D13" s="316">
        <v>13</v>
      </c>
      <c r="E13" s="849">
        <v>10</v>
      </c>
      <c r="F13" s="850"/>
      <c r="G13" s="317">
        <f>E13</f>
        <v>10</v>
      </c>
      <c r="H13" s="181"/>
      <c r="I13" s="181"/>
      <c r="J13" s="181"/>
      <c r="K13" s="181"/>
    </row>
    <row r="14" spans="1:11" s="76" customFormat="1" ht="12.75">
      <c r="A14" s="85"/>
      <c r="B14" s="75"/>
      <c r="C14" s="411" t="s">
        <v>228</v>
      </c>
      <c r="D14" s="316">
        <v>29.2</v>
      </c>
      <c r="E14" s="1029">
        <v>31.75</v>
      </c>
      <c r="F14" s="1030"/>
      <c r="G14" s="317">
        <f>E14</f>
        <v>31.75</v>
      </c>
      <c r="H14" s="232"/>
      <c r="I14" s="232"/>
      <c r="J14" s="44"/>
      <c r="K14" s="44"/>
    </row>
    <row r="15" spans="1:11" s="76" customFormat="1" ht="13.5" thickBot="1">
      <c r="A15" s="85"/>
      <c r="B15" s="75"/>
      <c r="C15" s="388" t="s">
        <v>230</v>
      </c>
      <c r="D15" s="389">
        <v>13</v>
      </c>
      <c r="E15" s="998">
        <v>10</v>
      </c>
      <c r="F15" s="999"/>
      <c r="G15" s="317">
        <f>E15</f>
        <v>10</v>
      </c>
      <c r="H15" s="232"/>
      <c r="I15" s="232"/>
      <c r="J15" s="44"/>
      <c r="K15" s="44"/>
    </row>
    <row r="16" spans="1:11" s="78" customFormat="1" ht="13.5" thickBot="1">
      <c r="A16" s="81"/>
      <c r="B16" s="77"/>
      <c r="C16" s="1000" t="s">
        <v>0</v>
      </c>
      <c r="D16" s="1001"/>
      <c r="E16" s="1001"/>
      <c r="F16" s="1002"/>
      <c r="G16" s="250">
        <f>SUM(G12:G15)</f>
        <v>61.75</v>
      </c>
      <c r="H16" s="400"/>
      <c r="I16" s="234"/>
      <c r="J16" s="234"/>
      <c r="K16" s="234"/>
    </row>
    <row r="17" spans="2:11" s="81" customFormat="1" ht="13.5" thickBot="1">
      <c r="B17" s="80"/>
      <c r="C17" s="401"/>
      <c r="D17" s="235"/>
      <c r="E17" s="235"/>
      <c r="F17" s="235"/>
      <c r="G17" s="410"/>
      <c r="H17" s="181"/>
      <c r="I17" s="181"/>
      <c r="J17" s="181"/>
      <c r="K17" s="181"/>
    </row>
    <row r="18" spans="1:11" s="78" customFormat="1" ht="13.5" thickBot="1">
      <c r="A18" s="79"/>
      <c r="B18" s="77"/>
      <c r="C18" s="992" t="s">
        <v>303</v>
      </c>
      <c r="D18" s="993"/>
      <c r="E18" s="993"/>
      <c r="F18" s="993"/>
      <c r="G18" s="994"/>
      <c r="H18" s="181"/>
      <c r="I18" s="237"/>
      <c r="J18" s="237"/>
      <c r="K18" s="237"/>
    </row>
    <row r="19" spans="1:11" s="78" customFormat="1" ht="12.75">
      <c r="A19" s="79"/>
      <c r="B19" s="77"/>
      <c r="C19" s="390" t="s">
        <v>24</v>
      </c>
      <c r="D19" s="321" t="s">
        <v>9</v>
      </c>
      <c r="E19" s="321" t="s">
        <v>27</v>
      </c>
      <c r="F19" s="321" t="s">
        <v>360</v>
      </c>
      <c r="G19" s="391" t="s">
        <v>26</v>
      </c>
      <c r="H19" s="990"/>
      <c r="I19" s="990"/>
      <c r="J19" s="990"/>
      <c r="K19" s="181"/>
    </row>
    <row r="20" spans="1:11" s="76" customFormat="1" ht="12.75">
      <c r="A20" s="85"/>
      <c r="B20" s="75"/>
      <c r="C20" s="257" t="s">
        <v>225</v>
      </c>
      <c r="D20" s="368">
        <v>6.4</v>
      </c>
      <c r="E20" s="231">
        <v>2.55</v>
      </c>
      <c r="F20" s="368" t="s">
        <v>4</v>
      </c>
      <c r="G20" s="256">
        <f>E20</f>
        <v>2.55</v>
      </c>
      <c r="H20" s="232"/>
      <c r="I20" s="232"/>
      <c r="J20" s="44"/>
      <c r="K20" s="44"/>
    </row>
    <row r="21" spans="1:11" s="76" customFormat="1" ht="12.75">
      <c r="A21" s="85"/>
      <c r="B21" s="75"/>
      <c r="C21" s="257" t="s">
        <v>226</v>
      </c>
      <c r="D21" s="368">
        <v>7</v>
      </c>
      <c r="E21" s="231">
        <v>3</v>
      </c>
      <c r="F21" s="368" t="s">
        <v>4</v>
      </c>
      <c r="G21" s="256">
        <f>E21</f>
        <v>3</v>
      </c>
      <c r="H21" s="232"/>
      <c r="I21" s="232"/>
      <c r="J21" s="44"/>
      <c r="K21" s="44"/>
    </row>
    <row r="22" spans="1:11" s="76" customFormat="1" ht="13.5" thickBot="1">
      <c r="A22" s="85"/>
      <c r="B22" s="75"/>
      <c r="C22" s="257" t="s">
        <v>227</v>
      </c>
      <c r="D22" s="368">
        <v>7</v>
      </c>
      <c r="E22" s="231">
        <v>3</v>
      </c>
      <c r="F22" s="368" t="s">
        <v>4</v>
      </c>
      <c r="G22" s="264">
        <f>E22</f>
        <v>3</v>
      </c>
      <c r="H22" s="232"/>
      <c r="I22" s="232"/>
      <c r="J22" s="44"/>
      <c r="K22" s="44"/>
    </row>
    <row r="23" spans="1:11" s="78" customFormat="1" ht="13.5" thickBot="1">
      <c r="A23" s="81"/>
      <c r="B23" s="77"/>
      <c r="C23" s="995" t="s">
        <v>0</v>
      </c>
      <c r="D23" s="996"/>
      <c r="E23" s="996"/>
      <c r="F23" s="997"/>
      <c r="G23" s="250">
        <f>SUM(G20:G22)</f>
        <v>8.55</v>
      </c>
      <c r="H23" s="233"/>
      <c r="I23" s="234"/>
      <c r="J23" s="234"/>
      <c r="K23" s="234"/>
    </row>
    <row r="24" spans="1:11" s="78" customFormat="1" ht="13.5" thickBot="1">
      <c r="A24" s="81"/>
      <c r="B24" s="77"/>
      <c r="C24" s="236"/>
      <c r="D24" s="241"/>
      <c r="E24" s="241"/>
      <c r="F24" s="242"/>
      <c r="G24" s="235"/>
      <c r="H24" s="233"/>
      <c r="I24" s="234"/>
      <c r="J24" s="234"/>
      <c r="K24" s="234"/>
    </row>
    <row r="25" spans="1:11" s="78" customFormat="1" ht="13.5" thickBot="1">
      <c r="A25" s="81"/>
      <c r="B25" s="77"/>
      <c r="C25" s="992" t="s">
        <v>237</v>
      </c>
      <c r="D25" s="993"/>
      <c r="E25" s="993"/>
      <c r="F25" s="993"/>
      <c r="G25" s="994"/>
      <c r="H25" s="233"/>
      <c r="I25" s="234"/>
      <c r="J25" s="234"/>
      <c r="K25" s="234"/>
    </row>
    <row r="26" spans="1:11" s="78" customFormat="1" ht="13.5" thickBot="1">
      <c r="A26" s="81"/>
      <c r="B26" s="77"/>
      <c r="C26" s="238" t="s">
        <v>24</v>
      </c>
      <c r="D26" s="239" t="s">
        <v>9</v>
      </c>
      <c r="E26" s="239" t="s">
        <v>25</v>
      </c>
      <c r="F26" s="239" t="s">
        <v>50</v>
      </c>
      <c r="G26" s="240" t="s">
        <v>26</v>
      </c>
      <c r="H26" s="233"/>
      <c r="I26" s="234"/>
      <c r="J26" s="234"/>
      <c r="K26" s="234"/>
    </row>
    <row r="27" spans="1:11" s="78" customFormat="1" ht="13.5" thickBot="1">
      <c r="A27" s="81"/>
      <c r="B27" s="77"/>
      <c r="C27" s="392" t="s">
        <v>289</v>
      </c>
      <c r="D27" s="393" t="s">
        <v>4</v>
      </c>
      <c r="E27" s="383">
        <v>37.89</v>
      </c>
      <c r="F27" s="394" t="s">
        <v>4</v>
      </c>
      <c r="G27" s="318">
        <f>E27</f>
        <v>37.89</v>
      </c>
      <c r="H27" s="233"/>
      <c r="I27" s="234"/>
      <c r="J27" s="234"/>
      <c r="K27" s="234"/>
    </row>
    <row r="28" spans="1:11" s="78" customFormat="1" ht="13.5" thickBot="1">
      <c r="A28" s="81"/>
      <c r="B28" s="80"/>
      <c r="C28" s="404"/>
      <c r="D28" s="241"/>
      <c r="E28" s="241"/>
      <c r="F28" s="242"/>
      <c r="G28" s="409"/>
      <c r="H28" s="233"/>
      <c r="I28" s="234"/>
      <c r="J28" s="234"/>
      <c r="K28" s="234"/>
    </row>
    <row r="29" spans="2:11" ht="13.5" thickBot="1">
      <c r="B29" s="406"/>
      <c r="C29" s="1006" t="s">
        <v>29</v>
      </c>
      <c r="D29" s="1007"/>
      <c r="E29" s="1007"/>
      <c r="F29" s="1007"/>
      <c r="G29" s="1008"/>
      <c r="H29" s="181"/>
      <c r="I29" s="24"/>
      <c r="J29" s="118"/>
      <c r="K29" s="118"/>
    </row>
    <row r="30" spans="2:11" ht="12.75">
      <c r="B30" s="406"/>
      <c r="C30" s="247" t="s">
        <v>24</v>
      </c>
      <c r="D30" s="249" t="s">
        <v>9</v>
      </c>
      <c r="E30" s="249" t="s">
        <v>213</v>
      </c>
      <c r="F30" s="254" t="s">
        <v>31</v>
      </c>
      <c r="G30" s="248" t="s">
        <v>26</v>
      </c>
      <c r="H30" s="245"/>
      <c r="I30" s="24"/>
      <c r="J30" s="118"/>
      <c r="K30" s="118"/>
    </row>
    <row r="31" spans="2:11" ht="12.75">
      <c r="B31" s="406"/>
      <c r="C31" s="262" t="s">
        <v>225</v>
      </c>
      <c r="D31" s="368">
        <v>6.4</v>
      </c>
      <c r="E31" s="230">
        <v>2.55</v>
      </c>
      <c r="F31" s="231" t="str">
        <f>F20</f>
        <v>-</v>
      </c>
      <c r="G31" s="255">
        <f aca="true" t="shared" si="0" ref="G31:G38">E31</f>
        <v>2.55</v>
      </c>
      <c r="H31" s="244"/>
      <c r="I31" s="24"/>
      <c r="J31" s="587" t="e">
        <f>#REF!-G39</f>
        <v>#REF!</v>
      </c>
      <c r="K31" s="118"/>
    </row>
    <row r="32" spans="2:11" ht="12.75">
      <c r="B32" s="406"/>
      <c r="C32" s="251" t="s">
        <v>211</v>
      </c>
      <c r="D32" s="368">
        <v>13</v>
      </c>
      <c r="E32" s="231">
        <v>10</v>
      </c>
      <c r="F32" s="231" t="str">
        <f>F21</f>
        <v>-</v>
      </c>
      <c r="G32" s="255">
        <f t="shared" si="0"/>
        <v>10</v>
      </c>
      <c r="H32" s="244"/>
      <c r="I32" s="24"/>
      <c r="J32" s="118"/>
      <c r="K32" s="118"/>
    </row>
    <row r="33" spans="2:11" ht="12.75">
      <c r="B33" s="406"/>
      <c r="C33" s="252" t="s">
        <v>212</v>
      </c>
      <c r="D33" s="368">
        <v>13</v>
      </c>
      <c r="E33" s="231">
        <v>10</v>
      </c>
      <c r="F33" s="231" t="str">
        <f>F22</f>
        <v>-</v>
      </c>
      <c r="G33" s="255">
        <f t="shared" si="0"/>
        <v>10</v>
      </c>
      <c r="H33" s="244"/>
      <c r="I33" s="24"/>
      <c r="J33" s="118"/>
      <c r="K33" s="118"/>
    </row>
    <row r="34" spans="2:11" ht="12.75">
      <c r="B34" s="406"/>
      <c r="C34" s="251" t="s">
        <v>226</v>
      </c>
      <c r="D34" s="368">
        <v>7</v>
      </c>
      <c r="E34" s="231">
        <v>3</v>
      </c>
      <c r="F34" s="231" t="s">
        <v>4</v>
      </c>
      <c r="G34" s="255">
        <f t="shared" si="0"/>
        <v>3</v>
      </c>
      <c r="H34" s="244"/>
      <c r="I34" s="24"/>
      <c r="J34" s="118"/>
      <c r="K34" s="118"/>
    </row>
    <row r="35" spans="2:11" ht="12.75">
      <c r="B35" s="406"/>
      <c r="C35" s="252" t="s">
        <v>227</v>
      </c>
      <c r="D35" s="368">
        <v>7</v>
      </c>
      <c r="E35" s="231">
        <v>3</v>
      </c>
      <c r="F35" s="231" t="s">
        <v>4</v>
      </c>
      <c r="G35" s="255">
        <f t="shared" si="0"/>
        <v>3</v>
      </c>
      <c r="H35" s="244"/>
      <c r="I35" s="24"/>
      <c r="J35" s="118"/>
      <c r="K35" s="118"/>
    </row>
    <row r="36" spans="2:11" ht="12.75">
      <c r="B36" s="406"/>
      <c r="C36" s="251" t="s">
        <v>228</v>
      </c>
      <c r="D36" s="368">
        <v>29.2</v>
      </c>
      <c r="E36" s="231">
        <v>31.75</v>
      </c>
      <c r="F36" s="231" t="s">
        <v>4</v>
      </c>
      <c r="G36" s="255">
        <f t="shared" si="0"/>
        <v>31.75</v>
      </c>
      <c r="H36" s="244"/>
      <c r="I36" s="24"/>
      <c r="J36" s="118"/>
      <c r="K36" s="118"/>
    </row>
    <row r="37" spans="2:11" ht="12.75">
      <c r="B37" s="406"/>
      <c r="C37" s="252" t="s">
        <v>230</v>
      </c>
      <c r="D37" s="368">
        <v>13</v>
      </c>
      <c r="E37" s="231">
        <v>10</v>
      </c>
      <c r="F37" s="231" t="s">
        <v>4</v>
      </c>
      <c r="G37" s="255">
        <f t="shared" si="0"/>
        <v>10</v>
      </c>
      <c r="H37" s="244"/>
      <c r="I37" s="24"/>
      <c r="J37" s="118"/>
      <c r="K37" s="118"/>
    </row>
    <row r="38" spans="2:11" ht="13.5" thickBot="1">
      <c r="B38" s="406"/>
      <c r="C38" s="262" t="s">
        <v>229</v>
      </c>
      <c r="D38" s="386" t="s">
        <v>4</v>
      </c>
      <c r="E38" s="387">
        <v>37.8925</v>
      </c>
      <c r="F38" s="387" t="s">
        <v>4</v>
      </c>
      <c r="G38" s="407">
        <f t="shared" si="0"/>
        <v>37.8925</v>
      </c>
      <c r="H38" s="244"/>
      <c r="I38" s="24"/>
      <c r="J38" s="118"/>
      <c r="K38" s="118"/>
    </row>
    <row r="39" spans="3:11" ht="13.5" thickBot="1">
      <c r="C39" s="1011" t="s">
        <v>0</v>
      </c>
      <c r="D39" s="1012"/>
      <c r="E39" s="1012"/>
      <c r="F39" s="1013"/>
      <c r="G39" s="250">
        <f>SUM(G31:G38)</f>
        <v>108.1925</v>
      </c>
      <c r="H39" s="244"/>
      <c r="I39" s="24"/>
      <c r="J39" s="118"/>
      <c r="K39" s="118"/>
    </row>
    <row r="40" spans="2:11" ht="13.5" thickBot="1">
      <c r="B40" s="402"/>
      <c r="C40" s="403"/>
      <c r="D40" s="253"/>
      <c r="E40" s="253"/>
      <c r="F40" s="253"/>
      <c r="G40" s="403"/>
      <c r="H40" s="405"/>
      <c r="I40" s="24"/>
      <c r="J40" s="118"/>
      <c r="K40" s="118"/>
    </row>
    <row r="41" spans="3:11" ht="13.5" thickBot="1">
      <c r="C41" s="1022" t="s">
        <v>214</v>
      </c>
      <c r="D41" s="1023"/>
      <c r="E41" s="1023"/>
      <c r="F41" s="1023"/>
      <c r="G41" s="1024"/>
      <c r="H41" s="408"/>
      <c r="I41" s="246"/>
      <c r="J41" s="246"/>
      <c r="K41" s="246"/>
    </row>
    <row r="42" spans="3:11" ht="12.75">
      <c r="C42" s="247" t="s">
        <v>24</v>
      </c>
      <c r="D42" s="1025" t="s">
        <v>9</v>
      </c>
      <c r="E42" s="1026"/>
      <c r="F42" s="369" t="s">
        <v>2</v>
      </c>
      <c r="G42" s="248" t="s">
        <v>190</v>
      </c>
      <c r="H42" s="244"/>
      <c r="I42" s="24"/>
      <c r="J42" s="118"/>
      <c r="K42" s="118"/>
    </row>
    <row r="43" spans="1:11" s="76" customFormat="1" ht="13.5" thickBot="1">
      <c r="A43" s="85"/>
      <c r="B43" s="75"/>
      <c r="C43" s="395" t="s">
        <v>191</v>
      </c>
      <c r="D43" s="1009">
        <v>34.25</v>
      </c>
      <c r="E43" s="1010"/>
      <c r="F43" s="319">
        <v>0.1</v>
      </c>
      <c r="G43" s="385">
        <f>(D43*0.8)*F43</f>
        <v>2.74</v>
      </c>
      <c r="H43" s="232"/>
      <c r="I43" s="232"/>
      <c r="J43" s="232"/>
      <c r="K43" s="232"/>
    </row>
    <row r="44" spans="3:11" ht="13.5" thickBot="1">
      <c r="C44" s="1019" t="s">
        <v>0</v>
      </c>
      <c r="D44" s="1020"/>
      <c r="E44" s="1020"/>
      <c r="F44" s="1021"/>
      <c r="G44" s="265">
        <f>SUM(G43:G43)</f>
        <v>2.74</v>
      </c>
      <c r="H44" s="244"/>
      <c r="I44" s="24"/>
      <c r="J44" s="118"/>
      <c r="K44" s="118"/>
    </row>
    <row r="45" spans="1:11" s="78" customFormat="1" ht="13.5" thickBot="1">
      <c r="A45" s="81"/>
      <c r="B45" s="77"/>
      <c r="C45" s="236"/>
      <c r="D45" s="241"/>
      <c r="E45" s="241"/>
      <c r="F45" s="242"/>
      <c r="G45" s="235"/>
      <c r="H45" s="233"/>
      <c r="I45" s="234"/>
      <c r="J45" s="234"/>
      <c r="K45" s="234"/>
    </row>
    <row r="46" spans="1:11" s="78" customFormat="1" ht="16.5" thickBot="1">
      <c r="A46" s="81"/>
      <c r="B46" s="77"/>
      <c r="C46" s="988" t="s">
        <v>294</v>
      </c>
      <c r="D46" s="1018"/>
      <c r="E46" s="989"/>
      <c r="F46" s="229"/>
      <c r="G46" s="229"/>
      <c r="H46" s="47"/>
      <c r="I46" s="45"/>
      <c r="J46" s="45"/>
      <c r="K46" s="45"/>
    </row>
    <row r="47" spans="1:11" s="78" customFormat="1" ht="15.75">
      <c r="A47" s="81"/>
      <c r="B47" s="77"/>
      <c r="C47" s="396" t="s">
        <v>24</v>
      </c>
      <c r="D47" s="261" t="s">
        <v>1</v>
      </c>
      <c r="E47" s="391" t="s">
        <v>31</v>
      </c>
      <c r="F47" s="226"/>
      <c r="G47" s="225"/>
      <c r="H47" s="52"/>
      <c r="I47" s="45"/>
      <c r="J47" s="45"/>
      <c r="K47" s="45"/>
    </row>
    <row r="48" spans="1:11" s="76" customFormat="1" ht="18">
      <c r="A48" s="85"/>
      <c r="B48" s="75"/>
      <c r="C48" s="397" t="s">
        <v>211</v>
      </c>
      <c r="D48" s="320">
        <f>D12</f>
        <v>13</v>
      </c>
      <c r="E48" s="224">
        <f>'ESQUADRIAS E VIDROS'!H12*3</f>
        <v>2.7</v>
      </c>
      <c r="F48" s="227"/>
      <c r="G48" s="228"/>
      <c r="H48" s="72"/>
      <c r="I48" s="72"/>
      <c r="J48" s="44"/>
      <c r="K48" s="44"/>
    </row>
    <row r="49" spans="1:11" s="76" customFormat="1" ht="18">
      <c r="A49" s="85"/>
      <c r="B49" s="75"/>
      <c r="C49" s="397" t="s">
        <v>212</v>
      </c>
      <c r="D49" s="320">
        <f>D13</f>
        <v>13</v>
      </c>
      <c r="E49" s="224">
        <f>'ESQUADRIAS E VIDROS'!H12</f>
        <v>0.9</v>
      </c>
      <c r="F49" s="227"/>
      <c r="G49" s="228"/>
      <c r="H49" s="72"/>
      <c r="I49" s="72"/>
      <c r="J49" s="44"/>
      <c r="K49" s="44"/>
    </row>
    <row r="50" spans="1:11" s="76" customFormat="1" ht="18">
      <c r="A50" s="85"/>
      <c r="B50" s="75"/>
      <c r="C50" s="397" t="s">
        <v>228</v>
      </c>
      <c r="D50" s="320">
        <f>D14</f>
        <v>29.2</v>
      </c>
      <c r="E50" s="224">
        <f>'ESQUADRIAS E VIDROS'!H12*4+3</f>
        <v>6.6</v>
      </c>
      <c r="F50" s="227"/>
      <c r="G50" s="228"/>
      <c r="H50" s="72"/>
      <c r="I50" s="72"/>
      <c r="J50" s="44"/>
      <c r="K50" s="44"/>
    </row>
    <row r="51" spans="1:11" s="76" customFormat="1" ht="18.75" thickBot="1">
      <c r="A51" s="85"/>
      <c r="B51" s="75"/>
      <c r="C51" s="398" t="s">
        <v>230</v>
      </c>
      <c r="D51" s="384">
        <f>D15</f>
        <v>13</v>
      </c>
      <c r="E51" s="399">
        <f>'ESQUADRIAS E VIDROS'!H12</f>
        <v>0.9</v>
      </c>
      <c r="F51" s="227"/>
      <c r="G51" s="228"/>
      <c r="H51" s="72"/>
      <c r="I51" s="72"/>
      <c r="J51" s="44"/>
      <c r="K51" s="44"/>
    </row>
    <row r="52" spans="1:11" s="78" customFormat="1" ht="16.5" thickBot="1">
      <c r="A52" s="81"/>
      <c r="B52" s="77"/>
      <c r="C52" s="1011" t="s">
        <v>0</v>
      </c>
      <c r="D52" s="1013"/>
      <c r="E52" s="363">
        <f>SUM(E48:E51)</f>
        <v>11.1</v>
      </c>
      <c r="F52" s="217"/>
      <c r="G52" s="217"/>
      <c r="H52" s="91"/>
      <c r="I52" s="45"/>
      <c r="J52" s="45"/>
      <c r="K52" s="45"/>
    </row>
    <row r="53" spans="3:7" ht="13.5" thickBot="1">
      <c r="C53" s="218"/>
      <c r="D53" s="218"/>
      <c r="E53" s="218"/>
      <c r="F53" s="218"/>
      <c r="G53" s="412"/>
    </row>
    <row r="54" spans="3:7" ht="13.5" thickBot="1">
      <c r="C54" s="1006" t="s">
        <v>295</v>
      </c>
      <c r="D54" s="1007"/>
      <c r="E54" s="1007"/>
      <c r="F54" s="1007"/>
      <c r="G54" s="1008"/>
    </row>
    <row r="55" spans="3:7" ht="12.75">
      <c r="C55" s="219" t="s">
        <v>11</v>
      </c>
      <c r="D55" s="220" t="s">
        <v>12</v>
      </c>
      <c r="E55" s="220" t="s">
        <v>15</v>
      </c>
      <c r="F55" s="220" t="s">
        <v>16</v>
      </c>
      <c r="G55" s="221" t="s">
        <v>0</v>
      </c>
    </row>
    <row r="56" spans="3:7" ht="12.75">
      <c r="C56" s="222" t="s">
        <v>3</v>
      </c>
      <c r="D56" s="223">
        <v>0.9</v>
      </c>
      <c r="E56" s="223">
        <v>2.1</v>
      </c>
      <c r="F56" s="223">
        <v>7</v>
      </c>
      <c r="G56" s="224">
        <f>D56*F56</f>
        <v>6.3</v>
      </c>
    </row>
    <row r="57" spans="3:7" ht="13.5" thickBot="1">
      <c r="C57" s="413" t="s">
        <v>220</v>
      </c>
      <c r="D57" s="381">
        <f>'ESQUADRIAS E VIDROS'!H13</f>
        <v>3</v>
      </c>
      <c r="E57" s="382">
        <v>2.1</v>
      </c>
      <c r="F57" s="382">
        <v>1</v>
      </c>
      <c r="G57" s="289">
        <f>D57*F57</f>
        <v>3</v>
      </c>
    </row>
    <row r="58" spans="3:7" ht="13.5" thickBot="1">
      <c r="C58" s="1003" t="s">
        <v>0</v>
      </c>
      <c r="D58" s="1004"/>
      <c r="E58" s="1004"/>
      <c r="F58" s="1005"/>
      <c r="G58" s="250">
        <f>SUM(G56:G57)</f>
        <v>9.3</v>
      </c>
    </row>
    <row r="59" spans="3:7" ht="13.5" thickBot="1">
      <c r="C59" s="243"/>
      <c r="D59" s="243"/>
      <c r="E59" s="243"/>
      <c r="F59" s="243"/>
      <c r="G59" s="243"/>
    </row>
    <row r="60" spans="3:4" ht="13.5" thickBot="1">
      <c r="C60" s="988" t="s">
        <v>382</v>
      </c>
      <c r="D60" s="989"/>
    </row>
    <row r="61" spans="3:4" ht="12.75">
      <c r="C61" s="986" t="s">
        <v>18</v>
      </c>
      <c r="D61" s="620" t="s">
        <v>13</v>
      </c>
    </row>
    <row r="62" spans="3:4" ht="13.5" thickBot="1">
      <c r="C62" s="987"/>
      <c r="D62" s="621" t="s">
        <v>381</v>
      </c>
    </row>
    <row r="63" spans="3:4" ht="12.75">
      <c r="C63" s="617" t="s">
        <v>225</v>
      </c>
      <c r="D63" s="615">
        <v>2.55</v>
      </c>
    </row>
    <row r="64" spans="3:4" ht="12.75">
      <c r="C64" s="397" t="s">
        <v>211</v>
      </c>
      <c r="D64" s="618">
        <v>10</v>
      </c>
    </row>
    <row r="65" spans="3:4" ht="12.75">
      <c r="C65" s="397" t="s">
        <v>212</v>
      </c>
      <c r="D65" s="618">
        <v>10</v>
      </c>
    </row>
    <row r="66" spans="3:4" ht="12.75">
      <c r="C66" s="397" t="s">
        <v>226</v>
      </c>
      <c r="D66" s="618">
        <v>3</v>
      </c>
    </row>
    <row r="67" spans="3:4" ht="12.75">
      <c r="C67" s="397" t="s">
        <v>227</v>
      </c>
      <c r="D67" s="618">
        <v>3</v>
      </c>
    </row>
    <row r="68" spans="3:4" ht="12.75">
      <c r="C68" s="397" t="s">
        <v>228</v>
      </c>
      <c r="D68" s="618">
        <v>31.75</v>
      </c>
    </row>
    <row r="69" spans="3:4" ht="12.75">
      <c r="C69" s="397" t="s">
        <v>230</v>
      </c>
      <c r="D69" s="618">
        <v>10</v>
      </c>
    </row>
    <row r="70" spans="3:4" ht="13.5" thickBot="1">
      <c r="C70" s="619" t="s">
        <v>229</v>
      </c>
      <c r="D70" s="616">
        <v>10.5</v>
      </c>
    </row>
    <row r="71" spans="3:4" ht="13.5" thickBot="1">
      <c r="C71" s="566" t="s">
        <v>0</v>
      </c>
      <c r="D71" s="363">
        <f>SUM(D63:D70)</f>
        <v>80.8</v>
      </c>
    </row>
  </sheetData>
  <sheetProtection/>
  <mergeCells count="27">
    <mergeCell ref="C44:F44"/>
    <mergeCell ref="C41:G41"/>
    <mergeCell ref="D42:E42"/>
    <mergeCell ref="E11:F11"/>
    <mergeCell ref="E12:F12"/>
    <mergeCell ref="E13:F13"/>
    <mergeCell ref="E14:F14"/>
    <mergeCell ref="C58:F58"/>
    <mergeCell ref="C54:G54"/>
    <mergeCell ref="D43:E43"/>
    <mergeCell ref="C5:G5"/>
    <mergeCell ref="C29:G29"/>
    <mergeCell ref="C39:F39"/>
    <mergeCell ref="C10:G10"/>
    <mergeCell ref="C7:K7"/>
    <mergeCell ref="C46:E46"/>
    <mergeCell ref="C52:D52"/>
    <mergeCell ref="C61:C62"/>
    <mergeCell ref="C60:D60"/>
    <mergeCell ref="C8:G8"/>
    <mergeCell ref="H19:J19"/>
    <mergeCell ref="H11:J11"/>
    <mergeCell ref="C18:G18"/>
    <mergeCell ref="C23:F23"/>
    <mergeCell ref="C25:G25"/>
    <mergeCell ref="E15:F15"/>
    <mergeCell ref="C16:F1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  <headerFooter>
    <oddFooter>&amp;RPágina &amp;P de &amp;N</oddFooter>
  </headerFooter>
  <rowBreaks count="1" manualBreakCount="1">
    <brk id="59" min="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U31"/>
  <sheetViews>
    <sheetView view="pageBreakPreview" zoomScale="85" zoomScaleNormal="130" zoomScaleSheetLayoutView="85" zoomScalePageLayoutView="0" workbookViewId="0" topLeftCell="A1">
      <selection activeCell="N23" sqref="N23"/>
    </sheetView>
  </sheetViews>
  <sheetFormatPr defaultColWidth="9.140625" defaultRowHeight="12.75"/>
  <cols>
    <col min="1" max="1" width="1.421875" style="0" customWidth="1"/>
    <col min="2" max="2" width="9.140625" style="26" hidden="1" customWidth="1"/>
    <col min="3" max="3" width="9.28125" style="0" customWidth="1"/>
    <col min="4" max="4" width="36.28125" style="191" customWidth="1"/>
    <col min="5" max="5" width="11.00390625" style="88" customWidth="1"/>
    <col min="6" max="6" width="11.00390625" style="56" customWidth="1"/>
    <col min="7" max="7" width="11.00390625" style="197" customWidth="1"/>
    <col min="8" max="11" width="11.00390625" style="56" customWidth="1"/>
    <col min="12" max="12" width="11.00390625" style="86" customWidth="1"/>
    <col min="13" max="15" width="11.00390625" style="56" customWidth="1"/>
    <col min="16" max="16" width="16.421875" style="192" customWidth="1"/>
    <col min="17" max="17" width="17.00390625" style="73" customWidth="1"/>
    <col min="19" max="21" width="9.140625" style="3" customWidth="1"/>
  </cols>
  <sheetData>
    <row r="1" ht="18.75" thickBot="1">
      <c r="E1" s="88">
        <v>10</v>
      </c>
    </row>
    <row r="2" spans="4:6" ht="18.75" thickBot="1">
      <c r="D2" s="437"/>
      <c r="F2" s="89"/>
    </row>
    <row r="3" spans="4:18" ht="12.75" customHeight="1">
      <c r="D3" s="1046" t="s">
        <v>17</v>
      </c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8"/>
    </row>
    <row r="4" spans="4:18" ht="12.75" customHeight="1" thickBot="1">
      <c r="D4" s="1049"/>
      <c r="E4" s="1050"/>
      <c r="F4" s="1050"/>
      <c r="G4" s="1050"/>
      <c r="H4" s="1050"/>
      <c r="I4" s="1050"/>
      <c r="J4" s="1050"/>
      <c r="K4" s="1050"/>
      <c r="L4" s="1050"/>
      <c r="M4" s="1050"/>
      <c r="N4" s="1050"/>
      <c r="O4" s="1050"/>
      <c r="P4" s="1050"/>
      <c r="Q4" s="1050"/>
      <c r="R4" s="1051"/>
    </row>
    <row r="5" spans="4:12" ht="18.75" thickBot="1">
      <c r="D5" s="1035"/>
      <c r="E5" s="1035"/>
      <c r="F5" s="1035"/>
      <c r="G5" s="1035"/>
      <c r="H5" s="1035"/>
      <c r="I5" s="1035"/>
      <c r="J5" s="1035"/>
      <c r="K5" s="1035"/>
      <c r="L5" s="1035"/>
    </row>
    <row r="6" spans="2:21" s="58" customFormat="1" ht="19.5" customHeight="1" thickBot="1">
      <c r="B6" s="27"/>
      <c r="D6" s="1036" t="s">
        <v>18</v>
      </c>
      <c r="E6" s="1038" t="s">
        <v>67</v>
      </c>
      <c r="F6" s="1036" t="s">
        <v>176</v>
      </c>
      <c r="G6" s="448" t="s">
        <v>13</v>
      </c>
      <c r="H6" s="1043" t="s">
        <v>66</v>
      </c>
      <c r="I6" s="1044"/>
      <c r="J6" s="1044"/>
      <c r="K6" s="1045"/>
      <c r="L6" s="449" t="s">
        <v>13</v>
      </c>
      <c r="M6" s="1040" t="s">
        <v>13</v>
      </c>
      <c r="N6" s="1041"/>
      <c r="O6" s="1041"/>
      <c r="P6" s="1042"/>
      <c r="Q6" s="450" t="s">
        <v>13</v>
      </c>
      <c r="S6" s="169"/>
      <c r="T6" s="169"/>
      <c r="U6" s="169"/>
    </row>
    <row r="7" spans="2:21" s="58" customFormat="1" ht="45" customHeight="1" thickBot="1">
      <c r="B7" s="27"/>
      <c r="D7" s="1037"/>
      <c r="E7" s="1039"/>
      <c r="F7" s="1037"/>
      <c r="G7" s="451" t="s">
        <v>21</v>
      </c>
      <c r="H7" s="452" t="s">
        <v>68</v>
      </c>
      <c r="I7" s="453" t="s">
        <v>19</v>
      </c>
      <c r="J7" s="453" t="s">
        <v>70</v>
      </c>
      <c r="K7" s="454" t="s">
        <v>53</v>
      </c>
      <c r="L7" s="455" t="s">
        <v>54</v>
      </c>
      <c r="M7" s="456" t="s">
        <v>20</v>
      </c>
      <c r="N7" s="457" t="s">
        <v>19</v>
      </c>
      <c r="O7" s="457" t="s">
        <v>56</v>
      </c>
      <c r="P7" s="458" t="s">
        <v>52</v>
      </c>
      <c r="Q7" s="459" t="s">
        <v>51</v>
      </c>
      <c r="S7" s="169"/>
      <c r="T7" s="169"/>
      <c r="U7" s="169"/>
    </row>
    <row r="8" spans="2:21" s="159" customFormat="1" ht="23.25" customHeight="1" thickBot="1">
      <c r="B8" s="79"/>
      <c r="C8" s="106"/>
      <c r="D8" s="322" t="str">
        <f>'REVEST. PAR'!B8</f>
        <v>SANIT I</v>
      </c>
      <c r="E8" s="422" t="s">
        <v>4</v>
      </c>
      <c r="F8" s="199">
        <f>'REVEST. PAR'!E8</f>
        <v>2.39</v>
      </c>
      <c r="G8" s="423">
        <v>2.55</v>
      </c>
      <c r="H8" s="424" t="str">
        <f>E8</f>
        <v>-</v>
      </c>
      <c r="I8" s="425">
        <v>3</v>
      </c>
      <c r="J8" s="425">
        <f>F8</f>
        <v>2.39</v>
      </c>
      <c r="K8" s="370" t="s">
        <v>4</v>
      </c>
      <c r="L8" s="200">
        <f>G8</f>
        <v>2.55</v>
      </c>
      <c r="M8" s="426" t="str">
        <f>H8</f>
        <v>-</v>
      </c>
      <c r="N8" s="427">
        <v>3</v>
      </c>
      <c r="O8" s="427">
        <f>F8</f>
        <v>2.39</v>
      </c>
      <c r="P8" s="193" t="s">
        <v>4</v>
      </c>
      <c r="Q8" s="171">
        <f>G8</f>
        <v>2.55</v>
      </c>
      <c r="R8" s="45"/>
      <c r="S8" s="45"/>
      <c r="T8" s="45"/>
      <c r="U8" s="45"/>
    </row>
    <row r="9" spans="2:21" s="159" customFormat="1" ht="23.25" customHeight="1" thickBot="1">
      <c r="B9" s="79"/>
      <c r="C9" s="106"/>
      <c r="D9" s="322" t="str">
        <f>'REVEST. PAR'!B9</f>
        <v>CONSULTÓRIO I</v>
      </c>
      <c r="E9" s="434">
        <f>'REVEST. PAR'!C9</f>
        <v>13</v>
      </c>
      <c r="F9" s="432">
        <f>'REVEST. PAR'!E9</f>
        <v>7.32</v>
      </c>
      <c r="G9" s="433">
        <v>10</v>
      </c>
      <c r="H9" s="424">
        <f aca="true" t="shared" si="0" ref="H9:H15">E9</f>
        <v>13</v>
      </c>
      <c r="I9" s="425">
        <v>3</v>
      </c>
      <c r="J9" s="425">
        <f aca="true" t="shared" si="1" ref="J9:J15">F9</f>
        <v>7.32</v>
      </c>
      <c r="K9" s="201">
        <f aca="true" t="shared" si="2" ref="K9:K15">(H9*I9)-J9</f>
        <v>31.68</v>
      </c>
      <c r="L9" s="200">
        <f aca="true" t="shared" si="3" ref="L9:L15">G9</f>
        <v>10</v>
      </c>
      <c r="M9" s="426">
        <f aca="true" t="shared" si="4" ref="M9:M15">H9</f>
        <v>13</v>
      </c>
      <c r="N9" s="427">
        <v>3</v>
      </c>
      <c r="O9" s="427">
        <f aca="true" t="shared" si="5" ref="O9:O15">F9</f>
        <v>7.32</v>
      </c>
      <c r="P9" s="193">
        <f aca="true" t="shared" si="6" ref="P9:P15">(M9*N9)-O9</f>
        <v>31.68</v>
      </c>
      <c r="Q9" s="171">
        <f aca="true" t="shared" si="7" ref="Q9:Q15">G9</f>
        <v>10</v>
      </c>
      <c r="R9" s="45"/>
      <c r="S9" s="45"/>
      <c r="T9" s="45"/>
      <c r="U9" s="45"/>
    </row>
    <row r="10" spans="2:21" s="159" customFormat="1" ht="23.25" customHeight="1" thickBot="1">
      <c r="B10" s="79"/>
      <c r="C10" s="106"/>
      <c r="D10" s="322" t="str">
        <f>'REVEST. PAR'!B10</f>
        <v>CONSULTÓRIO II</v>
      </c>
      <c r="E10" s="435">
        <f>'REVEST. PAR'!C10</f>
        <v>13</v>
      </c>
      <c r="F10" s="432">
        <f>'REVEST. PAR'!E10</f>
        <v>3.1185000000000005</v>
      </c>
      <c r="G10" s="433">
        <v>10</v>
      </c>
      <c r="H10" s="424">
        <f t="shared" si="0"/>
        <v>13</v>
      </c>
      <c r="I10" s="425">
        <v>3</v>
      </c>
      <c r="J10" s="425">
        <f t="shared" si="1"/>
        <v>3.1185000000000005</v>
      </c>
      <c r="K10" s="201">
        <f t="shared" si="2"/>
        <v>35.8815</v>
      </c>
      <c r="L10" s="200">
        <f t="shared" si="3"/>
        <v>10</v>
      </c>
      <c r="M10" s="426">
        <f t="shared" si="4"/>
        <v>13</v>
      </c>
      <c r="N10" s="427">
        <v>3</v>
      </c>
      <c r="O10" s="427">
        <f t="shared" si="5"/>
        <v>3.1185000000000005</v>
      </c>
      <c r="P10" s="193">
        <f t="shared" si="6"/>
        <v>35.8815</v>
      </c>
      <c r="Q10" s="171">
        <f t="shared" si="7"/>
        <v>10</v>
      </c>
      <c r="R10" s="45"/>
      <c r="S10" s="45"/>
      <c r="T10" s="45"/>
      <c r="U10" s="45"/>
    </row>
    <row r="11" spans="2:21" s="159" customFormat="1" ht="23.25" customHeight="1" thickBot="1">
      <c r="B11" s="79"/>
      <c r="C11" s="106"/>
      <c r="D11" s="322" t="str">
        <f>'REVEST. PAR'!B11</f>
        <v>SANIT MASC</v>
      </c>
      <c r="E11" s="434" t="s">
        <v>4</v>
      </c>
      <c r="F11" s="432">
        <f>'REVEST. PAR'!E11</f>
        <v>2.29</v>
      </c>
      <c r="G11" s="433">
        <v>3</v>
      </c>
      <c r="H11" s="424" t="str">
        <f t="shared" si="0"/>
        <v>-</v>
      </c>
      <c r="I11" s="425">
        <v>3</v>
      </c>
      <c r="J11" s="425">
        <f t="shared" si="1"/>
        <v>2.29</v>
      </c>
      <c r="K11" s="201" t="s">
        <v>4</v>
      </c>
      <c r="L11" s="200">
        <f t="shared" si="3"/>
        <v>3</v>
      </c>
      <c r="M11" s="426" t="str">
        <f t="shared" si="4"/>
        <v>-</v>
      </c>
      <c r="N11" s="427">
        <v>3</v>
      </c>
      <c r="O11" s="427">
        <f t="shared" si="5"/>
        <v>2.29</v>
      </c>
      <c r="P11" s="193" t="s">
        <v>4</v>
      </c>
      <c r="Q11" s="171">
        <f t="shared" si="7"/>
        <v>3</v>
      </c>
      <c r="R11" s="45"/>
      <c r="S11" s="45"/>
      <c r="T11" s="45"/>
      <c r="U11" s="45"/>
    </row>
    <row r="12" spans="2:21" s="159" customFormat="1" ht="23.25" customHeight="1" thickBot="1">
      <c r="B12" s="79"/>
      <c r="C12" s="106"/>
      <c r="D12" s="198" t="str">
        <f>'REVEST. PAR'!B12</f>
        <v>SANIT FEM</v>
      </c>
      <c r="E12" s="435" t="s">
        <v>4</v>
      </c>
      <c r="F12" s="436">
        <f>'REVEST. PAR'!E12</f>
        <v>2.29</v>
      </c>
      <c r="G12" s="433">
        <v>3</v>
      </c>
      <c r="H12" s="424" t="str">
        <f t="shared" si="0"/>
        <v>-</v>
      </c>
      <c r="I12" s="425">
        <v>3</v>
      </c>
      <c r="J12" s="425">
        <f t="shared" si="1"/>
        <v>2.29</v>
      </c>
      <c r="K12" s="201" t="s">
        <v>4</v>
      </c>
      <c r="L12" s="200">
        <f t="shared" si="3"/>
        <v>3</v>
      </c>
      <c r="M12" s="426" t="str">
        <f t="shared" si="4"/>
        <v>-</v>
      </c>
      <c r="N12" s="427">
        <v>3</v>
      </c>
      <c r="O12" s="427">
        <f t="shared" si="5"/>
        <v>2.29</v>
      </c>
      <c r="P12" s="193" t="s">
        <v>4</v>
      </c>
      <c r="Q12" s="171">
        <f t="shared" si="7"/>
        <v>3</v>
      </c>
      <c r="R12" s="45"/>
      <c r="S12" s="45"/>
      <c r="T12" s="45"/>
      <c r="U12" s="45"/>
    </row>
    <row r="13" spans="2:21" s="159" customFormat="1" ht="23.25" customHeight="1" thickBot="1">
      <c r="B13" s="79"/>
      <c r="C13" s="106"/>
      <c r="D13" s="322" t="str">
        <f>'REVEST. PAR'!B13</f>
        <v>RECEPÇÃO/ESPERA</v>
      </c>
      <c r="E13" s="434">
        <f>'REVEST. PAR'!C13</f>
        <v>29.2</v>
      </c>
      <c r="F13" s="432">
        <f>'REVEST. PAR'!E13</f>
        <v>20.26</v>
      </c>
      <c r="G13" s="433">
        <v>31.75</v>
      </c>
      <c r="H13" s="424">
        <f t="shared" si="0"/>
        <v>29.2</v>
      </c>
      <c r="I13" s="425">
        <v>3</v>
      </c>
      <c r="J13" s="425">
        <f t="shared" si="1"/>
        <v>20.26</v>
      </c>
      <c r="K13" s="201">
        <f t="shared" si="2"/>
        <v>67.33999999999999</v>
      </c>
      <c r="L13" s="200">
        <f t="shared" si="3"/>
        <v>31.75</v>
      </c>
      <c r="M13" s="426">
        <f t="shared" si="4"/>
        <v>29.2</v>
      </c>
      <c r="N13" s="427">
        <v>3</v>
      </c>
      <c r="O13" s="427">
        <f t="shared" si="5"/>
        <v>20.26</v>
      </c>
      <c r="P13" s="193">
        <f t="shared" si="6"/>
        <v>67.33999999999999</v>
      </c>
      <c r="Q13" s="171">
        <f t="shared" si="7"/>
        <v>31.75</v>
      </c>
      <c r="R13" s="45"/>
      <c r="S13" s="45"/>
      <c r="T13" s="45"/>
      <c r="U13" s="45"/>
    </row>
    <row r="14" spans="2:21" s="159" customFormat="1" ht="23.25" customHeight="1" thickBot="1">
      <c r="B14" s="79"/>
      <c r="C14" s="106"/>
      <c r="D14" s="322" t="str">
        <f>'REVEST. PAR'!B14</f>
        <v>ADMINISTRAÇÃO</v>
      </c>
      <c r="E14" s="435">
        <f>'REVEST. PAR'!C14</f>
        <v>13</v>
      </c>
      <c r="F14" s="432">
        <f>'REVEST. PAR'!E14</f>
        <v>3.54</v>
      </c>
      <c r="G14" s="433">
        <v>10</v>
      </c>
      <c r="H14" s="424">
        <f t="shared" si="0"/>
        <v>13</v>
      </c>
      <c r="I14" s="425">
        <v>3</v>
      </c>
      <c r="J14" s="425">
        <f t="shared" si="1"/>
        <v>3.54</v>
      </c>
      <c r="K14" s="201">
        <f t="shared" si="2"/>
        <v>35.46</v>
      </c>
      <c r="L14" s="200">
        <f t="shared" si="3"/>
        <v>10</v>
      </c>
      <c r="M14" s="426">
        <f t="shared" si="4"/>
        <v>13</v>
      </c>
      <c r="N14" s="427">
        <v>3</v>
      </c>
      <c r="O14" s="427">
        <f t="shared" si="5"/>
        <v>3.54</v>
      </c>
      <c r="P14" s="193">
        <f t="shared" si="6"/>
        <v>35.46</v>
      </c>
      <c r="Q14" s="171">
        <f t="shared" si="7"/>
        <v>10</v>
      </c>
      <c r="R14" s="45"/>
      <c r="S14" s="45"/>
      <c r="T14" s="45"/>
      <c r="U14" s="45"/>
    </row>
    <row r="15" spans="2:21" s="159" customFormat="1" ht="23.25" customHeight="1" thickBot="1">
      <c r="B15" s="79"/>
      <c r="C15" s="106"/>
      <c r="D15" s="322" t="str">
        <f>'REVEST. PAR'!B15</f>
        <v>PARTE EXTERNA </v>
      </c>
      <c r="E15" s="429">
        <f>'REVEST. PAR'!C15</f>
        <v>44.8</v>
      </c>
      <c r="F15" s="430">
        <f>'REVEST. PAR'!E15</f>
        <v>16.15</v>
      </c>
      <c r="G15" s="431">
        <v>10.5</v>
      </c>
      <c r="H15" s="424">
        <f t="shared" si="0"/>
        <v>44.8</v>
      </c>
      <c r="I15" s="425">
        <v>5.75</v>
      </c>
      <c r="J15" s="425">
        <f t="shared" si="1"/>
        <v>16.15</v>
      </c>
      <c r="K15" s="201">
        <f t="shared" si="2"/>
        <v>241.44999999999996</v>
      </c>
      <c r="L15" s="200">
        <f t="shared" si="3"/>
        <v>10.5</v>
      </c>
      <c r="M15" s="426">
        <f t="shared" si="4"/>
        <v>44.8</v>
      </c>
      <c r="N15" s="427">
        <v>5.75</v>
      </c>
      <c r="O15" s="427">
        <f t="shared" si="5"/>
        <v>16.15</v>
      </c>
      <c r="P15" s="193">
        <f t="shared" si="6"/>
        <v>241.44999999999996</v>
      </c>
      <c r="Q15" s="171">
        <f t="shared" si="7"/>
        <v>10.5</v>
      </c>
      <c r="R15" s="45"/>
      <c r="S15" s="45"/>
      <c r="T15" s="45"/>
      <c r="U15" s="45"/>
    </row>
    <row r="16" spans="2:21" s="159" customFormat="1" ht="23.25" customHeight="1" thickBot="1">
      <c r="B16" s="79"/>
      <c r="C16" s="106"/>
      <c r="D16" s="367" t="s">
        <v>0</v>
      </c>
      <c r="E16" s="172">
        <f>SUM(E8:E15)</f>
        <v>113</v>
      </c>
      <c r="F16" s="173"/>
      <c r="G16" s="428">
        <f>SUM(G8:G15)</f>
        <v>80.8</v>
      </c>
      <c r="H16" s="203"/>
      <c r="I16" s="173"/>
      <c r="J16" s="173"/>
      <c r="K16" s="175">
        <f>SUM(K8:K15)</f>
        <v>411.81149999999997</v>
      </c>
      <c r="L16" s="202">
        <f>SUM(L8:L15)</f>
        <v>80.8</v>
      </c>
      <c r="M16" s="172">
        <f>SUM(M8:M15)</f>
        <v>113</v>
      </c>
      <c r="N16" s="174"/>
      <c r="O16" s="461"/>
      <c r="P16" s="175">
        <f>SUM(P8:P15)</f>
        <v>411.81149999999997</v>
      </c>
      <c r="Q16" s="477">
        <f>SUM(Q8:Q15)</f>
        <v>80.8</v>
      </c>
      <c r="R16" s="45"/>
      <c r="S16" s="45"/>
      <c r="T16" s="45"/>
      <c r="U16" s="45"/>
    </row>
    <row r="17" spans="2:21" s="159" customFormat="1" ht="23.25" customHeight="1" thickBot="1">
      <c r="B17" s="79"/>
      <c r="C17" s="106"/>
      <c r="D17" s="366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45"/>
      <c r="S17" s="45"/>
      <c r="T17" s="45"/>
      <c r="U17" s="45"/>
    </row>
    <row r="18" spans="2:21" s="159" customFormat="1" ht="23.25" customHeight="1" thickBot="1">
      <c r="B18" s="79"/>
      <c r="C18" s="106"/>
      <c r="D18" s="1031" t="s">
        <v>215</v>
      </c>
      <c r="E18" s="1032"/>
      <c r="F18" s="1032"/>
      <c r="G18" s="1032"/>
      <c r="H18" s="1032"/>
      <c r="I18" s="1032"/>
      <c r="J18" s="1032"/>
      <c r="K18" s="446">
        <f>K16</f>
        <v>411.81149999999997</v>
      </c>
      <c r="L18" s="59"/>
      <c r="M18" s="86"/>
      <c r="N18" s="86"/>
      <c r="O18" s="107"/>
      <c r="P18" s="194"/>
      <c r="Q18" s="170"/>
      <c r="R18" s="45"/>
      <c r="S18" s="45"/>
      <c r="T18" s="45"/>
      <c r="U18" s="45"/>
    </row>
    <row r="19" spans="2:21" s="159" customFormat="1" ht="23.25" customHeight="1" thickBot="1">
      <c r="B19" s="79"/>
      <c r="C19" s="106"/>
      <c r="D19" s="1031" t="s">
        <v>180</v>
      </c>
      <c r="E19" s="1032"/>
      <c r="F19" s="1032"/>
      <c r="G19" s="1032"/>
      <c r="H19" s="1032"/>
      <c r="I19" s="1032"/>
      <c r="J19" s="1032"/>
      <c r="K19" s="447">
        <f>L16</f>
        <v>80.8</v>
      </c>
      <c r="L19" s="90"/>
      <c r="M19" s="86"/>
      <c r="N19" s="86"/>
      <c r="O19" s="87"/>
      <c r="P19" s="195"/>
      <c r="Q19" s="84"/>
      <c r="R19" s="45"/>
      <c r="S19" s="45"/>
      <c r="T19" s="45"/>
      <c r="U19" s="45"/>
    </row>
    <row r="20" spans="2:21" s="159" customFormat="1" ht="23.25" customHeight="1" thickBot="1">
      <c r="B20" s="79"/>
      <c r="C20" s="106"/>
      <c r="D20" s="1031" t="s">
        <v>177</v>
      </c>
      <c r="E20" s="1032"/>
      <c r="F20" s="1032"/>
      <c r="G20" s="1032"/>
      <c r="H20" s="1032"/>
      <c r="I20" s="1032"/>
      <c r="J20" s="1032"/>
      <c r="K20" s="447">
        <f>K16</f>
        <v>411.81149999999997</v>
      </c>
      <c r="L20" s="90"/>
      <c r="M20" s="86"/>
      <c r="N20" s="107"/>
      <c r="O20" s="87"/>
      <c r="P20" s="195"/>
      <c r="Q20" s="84"/>
      <c r="R20" s="45"/>
      <c r="S20" s="45"/>
      <c r="T20" s="45"/>
      <c r="U20" s="45"/>
    </row>
    <row r="21" spans="2:21" s="159" customFormat="1" ht="23.25" customHeight="1" thickBot="1">
      <c r="B21" s="79"/>
      <c r="C21" s="106"/>
      <c r="D21" s="1033" t="s">
        <v>179</v>
      </c>
      <c r="E21" s="1034"/>
      <c r="F21" s="1034"/>
      <c r="G21" s="1034"/>
      <c r="H21" s="1034"/>
      <c r="I21" s="1034"/>
      <c r="J21" s="1034"/>
      <c r="K21" s="447">
        <f>L16</f>
        <v>80.8</v>
      </c>
      <c r="L21" s="90"/>
      <c r="M21" s="86"/>
      <c r="N21" s="86"/>
      <c r="O21" s="87"/>
      <c r="P21" s="195"/>
      <c r="Q21" s="84"/>
      <c r="R21" s="45"/>
      <c r="S21" s="45"/>
      <c r="T21" s="45"/>
      <c r="U21" s="45"/>
    </row>
    <row r="22" spans="2:21" s="196" customFormat="1" ht="23.25" customHeight="1" thickBot="1">
      <c r="B22" s="160"/>
      <c r="D22" s="1031" t="s">
        <v>28</v>
      </c>
      <c r="E22" s="1032"/>
      <c r="F22" s="1032"/>
      <c r="G22" s="1032"/>
      <c r="H22" s="1032"/>
      <c r="I22" s="1032"/>
      <c r="J22" s="1032"/>
      <c r="K22" s="447">
        <f>P16</f>
        <v>411.81149999999997</v>
      </c>
      <c r="L22" s="90"/>
      <c r="M22" s="86"/>
      <c r="N22" s="86"/>
      <c r="O22" s="87"/>
      <c r="P22" s="195"/>
      <c r="Q22" s="84"/>
      <c r="S22" s="160"/>
      <c r="T22" s="160"/>
      <c r="U22" s="160"/>
    </row>
    <row r="23" spans="2:21" s="78" customFormat="1" ht="23.25" customHeight="1" thickBot="1">
      <c r="B23" s="116"/>
      <c r="D23" s="1033" t="s">
        <v>178</v>
      </c>
      <c r="E23" s="1034"/>
      <c r="F23" s="1034"/>
      <c r="G23" s="1034"/>
      <c r="H23" s="1034"/>
      <c r="I23" s="1034"/>
      <c r="J23" s="1034"/>
      <c r="K23" s="447">
        <f>Q16</f>
        <v>80.8</v>
      </c>
      <c r="L23" s="90"/>
      <c r="M23" s="86"/>
      <c r="N23" s="86"/>
      <c r="O23" s="87"/>
      <c r="P23" s="195"/>
      <c r="Q23" s="84"/>
      <c r="S23" s="81"/>
      <c r="T23" s="81"/>
      <c r="U23" s="81"/>
    </row>
    <row r="24" spans="2:21" s="159" customFormat="1" ht="23.25" customHeight="1">
      <c r="B24" s="116"/>
      <c r="D24" s="191"/>
      <c r="E24" s="88"/>
      <c r="F24" s="56"/>
      <c r="G24" s="197"/>
      <c r="H24" s="56"/>
      <c r="I24" s="56"/>
      <c r="J24" s="56"/>
      <c r="K24" s="56"/>
      <c r="L24" s="86"/>
      <c r="M24" s="86"/>
      <c r="N24" s="86"/>
      <c r="O24" s="56"/>
      <c r="P24" s="194"/>
      <c r="Q24" s="170"/>
      <c r="S24" s="116"/>
      <c r="T24" s="116"/>
      <c r="U24" s="116"/>
    </row>
    <row r="25" spans="2:21" s="159" customFormat="1" ht="23.25" customHeight="1">
      <c r="B25" s="116"/>
      <c r="D25" s="191"/>
      <c r="E25" s="88"/>
      <c r="F25" s="56"/>
      <c r="G25" s="197"/>
      <c r="H25" s="56"/>
      <c r="I25" s="56"/>
      <c r="J25" s="56"/>
      <c r="K25" s="56"/>
      <c r="L25" s="86"/>
      <c r="M25" s="86"/>
      <c r="N25" s="86"/>
      <c r="O25" s="56"/>
      <c r="P25" s="192"/>
      <c r="Q25" s="73"/>
      <c r="S25" s="116"/>
      <c r="T25" s="116"/>
      <c r="U25" s="116"/>
    </row>
    <row r="26" spans="2:21" s="159" customFormat="1" ht="23.25" customHeight="1">
      <c r="B26" s="116"/>
      <c r="D26" s="191"/>
      <c r="E26" s="88"/>
      <c r="F26" s="56"/>
      <c r="G26" s="197"/>
      <c r="H26" s="56"/>
      <c r="I26" s="56"/>
      <c r="J26" s="56"/>
      <c r="K26" s="56"/>
      <c r="L26" s="86"/>
      <c r="M26" s="56"/>
      <c r="N26" s="56"/>
      <c r="O26" s="56"/>
      <c r="P26" s="192"/>
      <c r="Q26" s="73"/>
      <c r="S26" s="116"/>
      <c r="T26" s="116"/>
      <c r="U26" s="116"/>
    </row>
    <row r="27" spans="2:21" s="159" customFormat="1" ht="23.25" customHeight="1">
      <c r="B27" s="116"/>
      <c r="D27" s="191"/>
      <c r="E27" s="88"/>
      <c r="F27" s="56"/>
      <c r="G27" s="197"/>
      <c r="H27" s="56"/>
      <c r="I27" s="56"/>
      <c r="J27" s="56"/>
      <c r="K27" s="56"/>
      <c r="L27" s="86"/>
      <c r="M27" s="56"/>
      <c r="N27" s="56"/>
      <c r="O27" s="56"/>
      <c r="P27" s="192"/>
      <c r="Q27" s="73"/>
      <c r="S27" s="116"/>
      <c r="T27" s="116"/>
      <c r="U27" s="116"/>
    </row>
    <row r="28" spans="2:21" s="159" customFormat="1" ht="23.25" customHeight="1">
      <c r="B28" s="116"/>
      <c r="D28" s="191"/>
      <c r="E28" s="88"/>
      <c r="F28" s="56"/>
      <c r="G28" s="197"/>
      <c r="H28" s="56"/>
      <c r="I28" s="56"/>
      <c r="J28" s="56"/>
      <c r="K28" s="56"/>
      <c r="L28" s="86"/>
      <c r="M28" s="56"/>
      <c r="N28" s="56"/>
      <c r="O28" s="56"/>
      <c r="P28" s="192"/>
      <c r="Q28" s="73"/>
      <c r="S28" s="116"/>
      <c r="T28" s="116"/>
      <c r="U28" s="116"/>
    </row>
    <row r="29" spans="2:21" s="159" customFormat="1" ht="23.25" customHeight="1">
      <c r="B29" s="116"/>
      <c r="D29" s="191"/>
      <c r="E29" s="88"/>
      <c r="F29" s="56"/>
      <c r="G29" s="197"/>
      <c r="H29" s="56"/>
      <c r="I29" s="56"/>
      <c r="J29" s="56"/>
      <c r="K29" s="56"/>
      <c r="L29" s="86"/>
      <c r="M29" s="56"/>
      <c r="N29" s="56"/>
      <c r="O29" s="56"/>
      <c r="P29" s="192"/>
      <c r="Q29" s="73"/>
      <c r="S29" s="116"/>
      <c r="T29" s="116"/>
      <c r="U29" s="116"/>
    </row>
    <row r="30" spans="2:21" s="159" customFormat="1" ht="23.25" customHeight="1">
      <c r="B30" s="116"/>
      <c r="D30" s="191"/>
      <c r="E30" s="88"/>
      <c r="F30" s="56"/>
      <c r="G30" s="197"/>
      <c r="H30" s="56"/>
      <c r="I30" s="56"/>
      <c r="J30" s="56"/>
      <c r="K30" s="56"/>
      <c r="L30" s="86"/>
      <c r="M30" s="56"/>
      <c r="N30" s="56"/>
      <c r="O30" s="56"/>
      <c r="P30" s="192"/>
      <c r="Q30" s="73"/>
      <c r="S30" s="116"/>
      <c r="T30" s="116"/>
      <c r="U30" s="116"/>
    </row>
    <row r="31" spans="2:21" s="78" customFormat="1" ht="23.25" customHeight="1">
      <c r="B31" s="116"/>
      <c r="D31" s="191"/>
      <c r="E31" s="88"/>
      <c r="F31" s="56"/>
      <c r="G31" s="197"/>
      <c r="H31" s="56"/>
      <c r="I31" s="56"/>
      <c r="J31" s="56"/>
      <c r="K31" s="56"/>
      <c r="L31" s="86"/>
      <c r="M31" s="56"/>
      <c r="N31" s="56"/>
      <c r="O31" s="56"/>
      <c r="P31" s="192"/>
      <c r="Q31" s="73"/>
      <c r="S31" s="81"/>
      <c r="T31" s="81"/>
      <c r="U31" s="81"/>
    </row>
  </sheetData>
  <sheetProtection/>
  <mergeCells count="14">
    <mergeCell ref="M6:P6"/>
    <mergeCell ref="H6:K6"/>
    <mergeCell ref="F6:F7"/>
    <mergeCell ref="D21:J21"/>
    <mergeCell ref="D3:R4"/>
    <mergeCell ref="D19:J19"/>
    <mergeCell ref="E17:Q17"/>
    <mergeCell ref="D20:J20"/>
    <mergeCell ref="D22:J22"/>
    <mergeCell ref="D23:J23"/>
    <mergeCell ref="D5:L5"/>
    <mergeCell ref="D6:D7"/>
    <mergeCell ref="D18:J18"/>
    <mergeCell ref="E6:E7"/>
  </mergeCells>
  <printOptions horizontalCentered="1"/>
  <pageMargins left="0.5118110236220472" right="0.5118110236220472" top="0.3937007874015748" bottom="0.1968503937007874" header="0.31496062992125984" footer="0.31496062992125984"/>
  <pageSetup horizontalDpi="600" verticalDpi="600" orientation="landscape" paperSize="9" scale="61" r:id="rId1"/>
  <rowBreaks count="1" manualBreakCount="1">
    <brk id="24" min="3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B27"/>
  <sheetViews>
    <sheetView view="pageBreakPreview" zoomScaleSheetLayoutView="100" zoomScalePageLayoutView="0" workbookViewId="0" topLeftCell="A1">
      <selection activeCell="N29" sqref="N29"/>
    </sheetView>
  </sheetViews>
  <sheetFormatPr defaultColWidth="9.140625" defaultRowHeight="12.75"/>
  <cols>
    <col min="1" max="1" width="37.00390625" style="0" customWidth="1"/>
    <col min="2" max="2" width="13.57421875" style="0" customWidth="1"/>
  </cols>
  <sheetData>
    <row r="1" ht="13.5" thickBot="1"/>
    <row r="2" spans="1:2" ht="13.5" thickBot="1">
      <c r="A2" s="921" t="s">
        <v>384</v>
      </c>
      <c r="B2" s="923"/>
    </row>
    <row r="3" ht="13.5" thickBot="1"/>
    <row r="4" spans="1:2" ht="13.5" thickBot="1">
      <c r="A4" s="980" t="s">
        <v>386</v>
      </c>
      <c r="B4" s="982"/>
    </row>
    <row r="5" spans="1:2" ht="12.75">
      <c r="A5" s="986" t="s">
        <v>18</v>
      </c>
      <c r="B5" s="620" t="s">
        <v>13</v>
      </c>
    </row>
    <row r="6" spans="1:2" ht="13.5" thickBot="1">
      <c r="A6" s="987"/>
      <c r="B6" s="621" t="s">
        <v>381</v>
      </c>
    </row>
    <row r="7" spans="1:2" ht="12.75">
      <c r="A7" s="617" t="s">
        <v>225</v>
      </c>
      <c r="B7" s="615">
        <v>2.55</v>
      </c>
    </row>
    <row r="8" spans="1:2" ht="12.75">
      <c r="A8" s="397" t="s">
        <v>211</v>
      </c>
      <c r="B8" s="618">
        <v>10</v>
      </c>
    </row>
    <row r="9" spans="1:2" ht="12.75">
      <c r="A9" s="397" t="s">
        <v>212</v>
      </c>
      <c r="B9" s="618">
        <v>10</v>
      </c>
    </row>
    <row r="10" spans="1:2" ht="12.75">
      <c r="A10" s="397" t="s">
        <v>226</v>
      </c>
      <c r="B10" s="618">
        <v>3</v>
      </c>
    </row>
    <row r="11" spans="1:2" ht="12.75">
      <c r="A11" s="397" t="s">
        <v>227</v>
      </c>
      <c r="B11" s="618">
        <v>3</v>
      </c>
    </row>
    <row r="12" spans="1:2" ht="12.75">
      <c r="A12" s="397" t="s">
        <v>228</v>
      </c>
      <c r="B12" s="618">
        <v>31.75</v>
      </c>
    </row>
    <row r="13" spans="1:2" ht="12.75">
      <c r="A13" s="397" t="s">
        <v>230</v>
      </c>
      <c r="B13" s="618">
        <v>10</v>
      </c>
    </row>
    <row r="14" spans="1:2" ht="13.5" thickBot="1">
      <c r="A14" s="619" t="s">
        <v>229</v>
      </c>
      <c r="B14" s="616">
        <v>10.5</v>
      </c>
    </row>
    <row r="15" spans="1:2" ht="13.5" thickBot="1">
      <c r="A15" s="595" t="s">
        <v>0</v>
      </c>
      <c r="B15" s="363">
        <f>SUM(B7:B14)</f>
        <v>80.8</v>
      </c>
    </row>
    <row r="17" ht="13.5" thickBot="1"/>
    <row r="18" spans="1:2" ht="13.5" thickBot="1">
      <c r="A18" s="980" t="s">
        <v>385</v>
      </c>
      <c r="B18" s="982"/>
    </row>
    <row r="19" ht="13.5" thickBot="1"/>
    <row r="20" spans="1:2" ht="13.5" thickBot="1">
      <c r="A20" s="359" t="s">
        <v>287</v>
      </c>
      <c r="B20" s="361">
        <f>4.87+2.65+2.45+13.55+0.2+4.5+5.8+2.8+14.97</f>
        <v>51.78999999999999</v>
      </c>
    </row>
    <row r="22" ht="13.5" thickBot="1"/>
    <row r="23" spans="1:2" ht="13.5" thickBot="1">
      <c r="A23" s="980" t="s">
        <v>387</v>
      </c>
      <c r="B23" s="982"/>
    </row>
    <row r="24" ht="13.5" thickBot="1"/>
    <row r="25" spans="1:2" ht="13.5" thickBot="1">
      <c r="A25" s="359" t="s">
        <v>388</v>
      </c>
      <c r="B25" s="361">
        <v>2</v>
      </c>
    </row>
    <row r="26" spans="1:2" ht="13.5" thickBot="1">
      <c r="A26" s="359" t="s">
        <v>389</v>
      </c>
      <c r="B26" s="361">
        <v>6</v>
      </c>
    </row>
    <row r="27" spans="1:2" ht="13.5" thickBot="1">
      <c r="A27" s="359" t="s">
        <v>390</v>
      </c>
      <c r="B27" s="361">
        <v>3</v>
      </c>
    </row>
  </sheetData>
  <sheetProtection/>
  <mergeCells count="5">
    <mergeCell ref="A18:B18"/>
    <mergeCell ref="A4:B4"/>
    <mergeCell ref="A2:B2"/>
    <mergeCell ref="A5:A6"/>
    <mergeCell ref="A23:B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2" width="9.140625" style="0" customWidth="1"/>
  </cols>
  <sheetData>
    <row r="1" spans="1:3" ht="16.5" thickBot="1">
      <c r="A1" s="1053" t="s">
        <v>424</v>
      </c>
      <c r="B1" s="1054"/>
      <c r="C1" s="1055"/>
    </row>
    <row r="2" spans="1:3" ht="12.75">
      <c r="A2" s="30"/>
      <c r="B2" s="30"/>
      <c r="C2" s="1056"/>
    </row>
    <row r="3" spans="1:3" ht="13.5" thickBot="1">
      <c r="A3" s="30"/>
      <c r="B3" s="30"/>
      <c r="C3" s="1056"/>
    </row>
    <row r="4" spans="1:3" ht="19.5" thickBot="1">
      <c r="A4" s="1057" t="s">
        <v>425</v>
      </c>
      <c r="B4" s="1058"/>
      <c r="C4" s="1059"/>
    </row>
    <row r="5" spans="1:3" ht="19.5" thickBot="1">
      <c r="A5" s="1060"/>
      <c r="B5" s="1061"/>
      <c r="C5" s="1062"/>
    </row>
    <row r="6" spans="1:3" ht="15.75" thickBot="1">
      <c r="A6" s="1063" t="s">
        <v>426</v>
      </c>
      <c r="B6" s="1064" t="s">
        <v>426</v>
      </c>
      <c r="C6" s="1065"/>
    </row>
    <row r="7" spans="1:3" ht="19.5" thickBot="1">
      <c r="A7" s="1066" t="s">
        <v>427</v>
      </c>
      <c r="B7" s="1067"/>
      <c r="C7" s="1068"/>
    </row>
    <row r="8" spans="1:3" ht="15.75">
      <c r="A8" s="1081"/>
      <c r="B8" s="1081"/>
      <c r="C8" s="1081"/>
    </row>
    <row r="9" spans="1:3" ht="165">
      <c r="A9" s="1069" t="s">
        <v>428</v>
      </c>
      <c r="B9" s="1070"/>
      <c r="C9" s="1071"/>
    </row>
    <row r="10" spans="1:3" ht="96">
      <c r="A10" s="1072" t="s">
        <v>429</v>
      </c>
      <c r="B10" s="1070" t="s">
        <v>430</v>
      </c>
      <c r="C10" s="1073">
        <f>C21</f>
        <v>129.15</v>
      </c>
    </row>
    <row r="11" spans="1:3" ht="96">
      <c r="A11" s="1072" t="s">
        <v>431</v>
      </c>
      <c r="B11" s="1070" t="s">
        <v>430</v>
      </c>
      <c r="C11" s="1073">
        <f>C23</f>
        <v>9.4</v>
      </c>
    </row>
    <row r="12" spans="1:3" ht="15">
      <c r="A12" s="1082" t="s">
        <v>432</v>
      </c>
      <c r="B12" s="1083"/>
      <c r="C12" s="1074">
        <f>SUM(C10:C11)</f>
        <v>138.55</v>
      </c>
    </row>
    <row r="13" spans="1:3" ht="15">
      <c r="A13" s="1069"/>
      <c r="B13" s="1070"/>
      <c r="C13" s="1071"/>
    </row>
    <row r="14" spans="1:3" ht="15">
      <c r="A14" s="1069"/>
      <c r="B14" s="1070"/>
      <c r="C14" s="1071"/>
    </row>
    <row r="15" spans="1:3" ht="255">
      <c r="A15" s="1069" t="s">
        <v>433</v>
      </c>
      <c r="B15" s="1070"/>
      <c r="C15" s="1071"/>
    </row>
    <row r="16" spans="1:3" ht="96">
      <c r="A16" s="1072" t="s">
        <v>429</v>
      </c>
      <c r="B16" s="1070" t="s">
        <v>430</v>
      </c>
      <c r="C16" s="1073">
        <f>C21</f>
        <v>129.15</v>
      </c>
    </row>
    <row r="17" spans="1:3" ht="96">
      <c r="A17" s="1072" t="s">
        <v>431</v>
      </c>
      <c r="B17" s="1070" t="s">
        <v>430</v>
      </c>
      <c r="C17" s="1073">
        <f>C23</f>
        <v>9.4</v>
      </c>
    </row>
    <row r="18" spans="1:3" ht="15">
      <c r="A18" s="1082" t="s">
        <v>434</v>
      </c>
      <c r="B18" s="1083"/>
      <c r="C18" s="1074">
        <f>SUM(C16:C17)</f>
        <v>138.55</v>
      </c>
    </row>
    <row r="19" spans="1:3" ht="15">
      <c r="A19" s="1069"/>
      <c r="B19" s="1070"/>
      <c r="C19" s="1071"/>
    </row>
    <row r="20" spans="1:3" ht="15">
      <c r="A20" s="1069"/>
      <c r="B20" s="1070"/>
      <c r="C20" s="1071"/>
    </row>
    <row r="21" spans="1:3" ht="225">
      <c r="A21" s="1069" t="s">
        <v>435</v>
      </c>
      <c r="B21" s="1075" t="s">
        <v>430</v>
      </c>
      <c r="C21" s="1073">
        <v>129.15</v>
      </c>
    </row>
    <row r="22" spans="1:3" ht="210">
      <c r="A22" s="1069" t="s">
        <v>436</v>
      </c>
      <c r="B22" s="1075" t="s">
        <v>430</v>
      </c>
      <c r="C22" s="1073">
        <v>107.62</v>
      </c>
    </row>
    <row r="23" spans="1:3" ht="210">
      <c r="A23" s="1069" t="s">
        <v>437</v>
      </c>
      <c r="B23" s="1075" t="s">
        <v>430</v>
      </c>
      <c r="C23" s="1073">
        <v>9.4</v>
      </c>
    </row>
    <row r="24" spans="1:3" ht="195">
      <c r="A24" s="1069" t="s">
        <v>438</v>
      </c>
      <c r="B24" s="1075" t="s">
        <v>430</v>
      </c>
      <c r="C24" s="1073">
        <v>33.29</v>
      </c>
    </row>
    <row r="25" spans="1:3" ht="150">
      <c r="A25" s="1069" t="s">
        <v>439</v>
      </c>
      <c r="B25" s="1075" t="s">
        <v>430</v>
      </c>
      <c r="C25" s="1073">
        <v>0.76</v>
      </c>
    </row>
    <row r="26" spans="1:3" ht="105">
      <c r="A26" s="1069" t="s">
        <v>440</v>
      </c>
      <c r="B26" s="1075" t="s">
        <v>430</v>
      </c>
      <c r="C26" s="1073">
        <f>14.85+9.22</f>
        <v>24.07</v>
      </c>
    </row>
    <row r="27" spans="1:3" ht="150">
      <c r="A27" s="1069" t="s">
        <v>441</v>
      </c>
      <c r="B27" s="1075" t="s">
        <v>442</v>
      </c>
      <c r="C27" s="1073">
        <f>C60</f>
        <v>13</v>
      </c>
    </row>
    <row r="28" spans="1:3" ht="150">
      <c r="A28" s="1069" t="s">
        <v>443</v>
      </c>
      <c r="B28" s="1075" t="s">
        <v>442</v>
      </c>
      <c r="C28" s="1073">
        <f>C57+C59+C61</f>
        <v>29</v>
      </c>
    </row>
    <row r="29" spans="1:3" ht="150">
      <c r="A29" s="1069" t="s">
        <v>444</v>
      </c>
      <c r="B29" s="1075" t="s">
        <v>442</v>
      </c>
      <c r="C29" s="1073">
        <f>C58</f>
        <v>7</v>
      </c>
    </row>
    <row r="30" spans="1:3" ht="375">
      <c r="A30" s="1069" t="s">
        <v>445</v>
      </c>
      <c r="B30" s="1070" t="s">
        <v>442</v>
      </c>
      <c r="C30" s="1073">
        <v>1</v>
      </c>
    </row>
    <row r="31" spans="1:3" ht="195">
      <c r="A31" s="1069" t="s">
        <v>446</v>
      </c>
      <c r="B31" s="1070" t="s">
        <v>442</v>
      </c>
      <c r="C31" s="1073">
        <f>29+6</f>
        <v>35</v>
      </c>
    </row>
    <row r="32" spans="1:3" ht="15">
      <c r="A32" s="1063"/>
      <c r="B32" s="1076"/>
      <c r="C32" s="1077"/>
    </row>
    <row r="33" spans="1:3" ht="15.75" thickBot="1">
      <c r="A33" s="1063"/>
      <c r="B33" s="1076"/>
      <c r="C33" s="1077"/>
    </row>
    <row r="34" spans="1:3" ht="19.5" thickBot="1">
      <c r="A34" s="1066" t="s">
        <v>447</v>
      </c>
      <c r="B34" s="1067"/>
      <c r="C34" s="1068"/>
    </row>
    <row r="35" spans="1:3" ht="15">
      <c r="A35" s="1063"/>
      <c r="B35" s="1076"/>
      <c r="C35" s="1077"/>
    </row>
    <row r="36" spans="1:3" ht="180">
      <c r="A36" s="1069" t="s">
        <v>448</v>
      </c>
      <c r="B36" s="1070" t="s">
        <v>430</v>
      </c>
      <c r="C36" s="1073">
        <f>298.79+291.36+122.42+180.74</f>
        <v>893.3100000000001</v>
      </c>
    </row>
    <row r="37" spans="1:3" ht="180">
      <c r="A37" s="1069" t="s">
        <v>449</v>
      </c>
      <c r="B37" s="1070" t="s">
        <v>430</v>
      </c>
      <c r="C37" s="1073">
        <f>105.15+105.15+19.3</f>
        <v>229.60000000000002</v>
      </c>
    </row>
    <row r="38" spans="1:3" ht="180">
      <c r="A38" s="1069" t="s">
        <v>450</v>
      </c>
      <c r="B38" s="1070" t="s">
        <v>430</v>
      </c>
      <c r="C38" s="1073">
        <f>76.03+21.02+33.2</f>
        <v>130.25</v>
      </c>
    </row>
    <row r="39" spans="1:3" ht="180">
      <c r="A39" s="1069" t="s">
        <v>451</v>
      </c>
      <c r="B39" s="1070" t="s">
        <v>430</v>
      </c>
      <c r="C39" s="1073">
        <f>146.72+48.91+48.91</f>
        <v>244.54</v>
      </c>
    </row>
    <row r="40" spans="1:3" ht="12.75">
      <c r="A40" s="30"/>
      <c r="B40" s="30"/>
      <c r="C40" s="1056"/>
    </row>
    <row r="41" spans="1:3" ht="16.5" thickBot="1">
      <c r="A41" s="1084"/>
      <c r="B41" s="1084"/>
      <c r="C41" s="1084"/>
    </row>
    <row r="42" spans="1:3" ht="19.5" thickBot="1">
      <c r="A42" s="1066" t="s">
        <v>452</v>
      </c>
      <c r="B42" s="1067"/>
      <c r="C42" s="1068"/>
    </row>
    <row r="43" spans="1:3" ht="15.75">
      <c r="A43" s="1081"/>
      <c r="B43" s="1081"/>
      <c r="C43" s="1081"/>
    </row>
    <row r="44" spans="1:3" ht="330">
      <c r="A44" s="1069" t="s">
        <v>453</v>
      </c>
      <c r="B44" s="1075" t="s">
        <v>442</v>
      </c>
      <c r="C44" s="1073">
        <v>2</v>
      </c>
    </row>
    <row r="45" spans="1:3" ht="105">
      <c r="A45" s="1069" t="s">
        <v>454</v>
      </c>
      <c r="B45" s="1075" t="s">
        <v>442</v>
      </c>
      <c r="C45" s="1073">
        <f>2+2</f>
        <v>4</v>
      </c>
    </row>
    <row r="46" spans="1:3" ht="105">
      <c r="A46" s="1069" t="s">
        <v>455</v>
      </c>
      <c r="B46" s="1075" t="s">
        <v>442</v>
      </c>
      <c r="C46" s="1073">
        <f>3+2+6</f>
        <v>11</v>
      </c>
    </row>
    <row r="47" spans="1:3" ht="105">
      <c r="A47" s="1069" t="s">
        <v>456</v>
      </c>
      <c r="B47" s="1075" t="s">
        <v>442</v>
      </c>
      <c r="C47" s="1073">
        <v>3</v>
      </c>
    </row>
    <row r="48" spans="1:3" ht="150">
      <c r="A48" s="1069" t="s">
        <v>457</v>
      </c>
      <c r="B48" s="1075" t="s">
        <v>442</v>
      </c>
      <c r="C48" s="1073">
        <v>1</v>
      </c>
    </row>
    <row r="49" spans="1:3" ht="150">
      <c r="A49" s="1069" t="s">
        <v>458</v>
      </c>
      <c r="B49" s="1075" t="s">
        <v>442</v>
      </c>
      <c r="C49" s="1073">
        <v>2</v>
      </c>
    </row>
    <row r="50" spans="1:3" ht="90">
      <c r="A50" s="1069" t="s">
        <v>459</v>
      </c>
      <c r="B50" s="1075" t="s">
        <v>442</v>
      </c>
      <c r="C50" s="1073">
        <v>1</v>
      </c>
    </row>
    <row r="51" spans="1:3" ht="90">
      <c r="A51" s="1069" t="s">
        <v>460</v>
      </c>
      <c r="B51" s="1075" t="s">
        <v>442</v>
      </c>
      <c r="C51" s="1073">
        <v>1</v>
      </c>
    </row>
    <row r="52" spans="1:3" ht="180">
      <c r="A52" s="1069" t="s">
        <v>461</v>
      </c>
      <c r="B52" s="1075" t="s">
        <v>462</v>
      </c>
      <c r="C52" s="1073">
        <v>8</v>
      </c>
    </row>
    <row r="53" spans="1:3" ht="15">
      <c r="A53" s="1078"/>
      <c r="B53" s="1078"/>
      <c r="C53" s="1065"/>
    </row>
    <row r="54" spans="1:3" ht="15.75" thickBot="1">
      <c r="A54" s="1078"/>
      <c r="B54" s="1078"/>
      <c r="C54" s="1065"/>
    </row>
    <row r="55" spans="1:3" ht="19.5" thickBot="1">
      <c r="A55" s="1066" t="s">
        <v>463</v>
      </c>
      <c r="B55" s="1067"/>
      <c r="C55" s="1068"/>
    </row>
    <row r="56" spans="1:3" ht="18.75">
      <c r="A56" s="1079"/>
      <c r="B56" s="1079"/>
      <c r="C56" s="1080"/>
    </row>
    <row r="57" spans="1:3" ht="165">
      <c r="A57" s="1069" t="s">
        <v>464</v>
      </c>
      <c r="B57" s="1075" t="s">
        <v>442</v>
      </c>
      <c r="C57" s="1073">
        <v>12</v>
      </c>
    </row>
    <row r="58" spans="1:3" ht="165">
      <c r="A58" s="1069" t="s">
        <v>465</v>
      </c>
      <c r="B58" s="1075" t="s">
        <v>442</v>
      </c>
      <c r="C58" s="1073">
        <v>7</v>
      </c>
    </row>
    <row r="59" spans="1:3" ht="180">
      <c r="A59" s="1069" t="s">
        <v>466</v>
      </c>
      <c r="B59" s="1075" t="s">
        <v>442</v>
      </c>
      <c r="C59" s="1073">
        <v>6</v>
      </c>
    </row>
    <row r="60" spans="1:3" ht="165">
      <c r="A60" s="1069" t="s">
        <v>467</v>
      </c>
      <c r="B60" s="1075" t="s">
        <v>442</v>
      </c>
      <c r="C60" s="1073">
        <v>13</v>
      </c>
    </row>
    <row r="61" spans="1:3" ht="180">
      <c r="A61" s="1069" t="s">
        <v>468</v>
      </c>
      <c r="B61" s="1075" t="s">
        <v>442</v>
      </c>
      <c r="C61" s="1073">
        <v>11</v>
      </c>
    </row>
    <row r="62" spans="1:3" ht="45">
      <c r="A62" s="1069" t="s">
        <v>469</v>
      </c>
      <c r="B62" s="1075" t="s">
        <v>442</v>
      </c>
      <c r="C62" s="1073">
        <v>1</v>
      </c>
    </row>
    <row r="63" spans="1:3" ht="30">
      <c r="A63" s="1069" t="s">
        <v>470</v>
      </c>
      <c r="B63" s="1075" t="s">
        <v>442</v>
      </c>
      <c r="C63" s="1073">
        <v>2</v>
      </c>
    </row>
    <row r="64" spans="1:3" ht="12.75">
      <c r="A64" s="30"/>
      <c r="B64" s="30"/>
      <c r="C64" s="1056"/>
    </row>
    <row r="65" spans="1:3" ht="15.75" thickBot="1">
      <c r="A65" s="1078"/>
      <c r="B65" s="1078"/>
      <c r="C65" s="1065"/>
    </row>
    <row r="66" spans="1:3" ht="19.5" thickBot="1">
      <c r="A66" s="1066" t="s">
        <v>471</v>
      </c>
      <c r="B66" s="1067"/>
      <c r="C66" s="1068"/>
    </row>
    <row r="67" spans="1:3" ht="15.75">
      <c r="A67" s="1081"/>
      <c r="B67" s="1081"/>
      <c r="C67" s="1081"/>
    </row>
    <row r="68" spans="1:3" ht="135">
      <c r="A68" s="1069" t="s">
        <v>472</v>
      </c>
      <c r="B68" s="1075" t="s">
        <v>442</v>
      </c>
      <c r="C68" s="1073">
        <v>29</v>
      </c>
    </row>
    <row r="69" spans="1:3" ht="135">
      <c r="A69" s="1069" t="s">
        <v>473</v>
      </c>
      <c r="B69" s="1075" t="s">
        <v>442</v>
      </c>
      <c r="C69" s="1073">
        <v>5</v>
      </c>
    </row>
    <row r="70" spans="1:3" ht="15">
      <c r="A70" s="1063" t="s">
        <v>426</v>
      </c>
      <c r="B70" s="1064" t="s">
        <v>426</v>
      </c>
      <c r="C70" s="1065"/>
    </row>
    <row r="71" spans="1:3" ht="15">
      <c r="A71" s="1063" t="s">
        <v>426</v>
      </c>
      <c r="B71" s="1064" t="s">
        <v>426</v>
      </c>
      <c r="C71" s="1065"/>
    </row>
  </sheetData>
  <sheetProtection/>
  <mergeCells count="13">
    <mergeCell ref="A67:C67"/>
    <mergeCell ref="A34:C34"/>
    <mergeCell ref="A41:C41"/>
    <mergeCell ref="A42:C42"/>
    <mergeCell ref="A43:C43"/>
    <mergeCell ref="A55:C55"/>
    <mergeCell ref="A66:C66"/>
    <mergeCell ref="A1:C1"/>
    <mergeCell ref="A4:C4"/>
    <mergeCell ref="A7:C7"/>
    <mergeCell ref="A8:C8"/>
    <mergeCell ref="A12:B12"/>
    <mergeCell ref="A18:B1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52"/>
  <sheetViews>
    <sheetView view="pageBreakPreview" zoomScale="85" zoomScaleNormal="145" zoomScaleSheetLayoutView="85" zoomScalePageLayoutView="0" workbookViewId="0" topLeftCell="A10">
      <pane ySplit="2" topLeftCell="A12" activePane="bottomLeft" state="frozen"/>
      <selection pane="topLeft" activeCell="A10" sqref="A10"/>
      <selection pane="bottomLeft" activeCell="J46" sqref="J46"/>
    </sheetView>
  </sheetViews>
  <sheetFormatPr defaultColWidth="9.140625" defaultRowHeight="12.75"/>
  <cols>
    <col min="1" max="1" width="26.28125" style="122" hidden="1" customWidth="1"/>
    <col min="2" max="5" width="9.140625" style="122" customWidth="1"/>
    <col min="6" max="8" width="9.140625" style="123" customWidth="1"/>
    <col min="9" max="10" width="14.28125" style="123" bestFit="1" customWidth="1"/>
    <col min="11" max="11" width="15.28125" style="122" bestFit="1" customWidth="1"/>
    <col min="12" max="12" width="9.140625" style="122" customWidth="1"/>
    <col min="13" max="13" width="14.7109375" style="122" customWidth="1"/>
    <col min="14" max="15" width="10.28125" style="122" bestFit="1" customWidth="1"/>
    <col min="16" max="16" width="14.8515625" style="122" bestFit="1" customWidth="1"/>
    <col min="17" max="17" width="11.8515625" style="122" customWidth="1"/>
    <col min="18" max="18" width="13.421875" style="122" customWidth="1"/>
    <col min="19" max="20" width="9.28125" style="122" bestFit="1" customWidth="1"/>
    <col min="21" max="21" width="17.421875" style="122" bestFit="1" customWidth="1"/>
    <col min="22" max="22" width="10.28125" style="122" bestFit="1" customWidth="1"/>
    <col min="23" max="23" width="11.28125" style="122" customWidth="1"/>
    <col min="24" max="16384" width="9.140625" style="122" customWidth="1"/>
  </cols>
  <sheetData>
    <row r="2" spans="19:21" ht="15.75" thickBot="1">
      <c r="S2" s="488"/>
      <c r="T2" s="701"/>
      <c r="U2" s="701"/>
    </row>
    <row r="3" spans="2:21" ht="15" customHeight="1">
      <c r="B3" s="709" t="s">
        <v>130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1"/>
      <c r="S3" s="488"/>
      <c r="T3" s="701"/>
      <c r="U3" s="701"/>
    </row>
    <row r="4" spans="2:21" ht="15.75" customHeight="1" thickBot="1">
      <c r="B4" s="712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4"/>
      <c r="S4" s="488"/>
      <c r="T4" s="701"/>
      <c r="U4" s="701"/>
    </row>
    <row r="5" spans="2:21" ht="15.75" customHeight="1">
      <c r="B5" s="702" t="s">
        <v>241</v>
      </c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4"/>
      <c r="S5" s="488"/>
      <c r="T5" s="701"/>
      <c r="U5" s="701"/>
    </row>
    <row r="6" spans="2:21" ht="15.75" customHeight="1" thickBo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7"/>
      <c r="S6" s="488"/>
      <c r="T6" s="701"/>
      <c r="U6" s="701"/>
    </row>
    <row r="7" spans="2:21" ht="16.5" thickBot="1">
      <c r="B7" s="715" t="s">
        <v>129</v>
      </c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7"/>
      <c r="S7" s="486"/>
      <c r="T7" s="699"/>
      <c r="U7" s="699"/>
    </row>
    <row r="8" spans="2:21" ht="15.75" thickBot="1">
      <c r="B8" s="693" t="s">
        <v>128</v>
      </c>
      <c r="C8" s="694"/>
      <c r="D8" s="694"/>
      <c r="E8" s="694"/>
      <c r="F8" s="694"/>
      <c r="G8" s="694"/>
      <c r="H8" s="694"/>
      <c r="I8" s="694"/>
      <c r="J8" s="694"/>
      <c r="K8" s="694"/>
      <c r="L8" s="695"/>
      <c r="M8" s="693" t="s">
        <v>127</v>
      </c>
      <c r="N8" s="694"/>
      <c r="O8" s="694"/>
      <c r="P8" s="694"/>
      <c r="Q8" s="694"/>
      <c r="R8" s="695"/>
      <c r="S8" s="486"/>
      <c r="T8" s="699"/>
      <c r="U8" s="699"/>
    </row>
    <row r="9" spans="2:21" ht="15.75" thickBot="1">
      <c r="B9" s="696" t="s">
        <v>126</v>
      </c>
      <c r="C9" s="697"/>
      <c r="D9" s="697"/>
      <c r="E9" s="697"/>
      <c r="F9" s="697"/>
      <c r="G9" s="697"/>
      <c r="H9" s="698"/>
      <c r="I9" s="491" t="s">
        <v>125</v>
      </c>
      <c r="J9" s="492"/>
      <c r="K9" s="493"/>
      <c r="L9" s="494"/>
      <c r="M9" s="494"/>
      <c r="N9" s="125"/>
      <c r="O9" s="125"/>
      <c r="P9" s="125"/>
      <c r="Q9" s="125"/>
      <c r="R9" s="125"/>
      <c r="S9" s="486"/>
      <c r="T9" s="699"/>
      <c r="U9" s="699"/>
    </row>
    <row r="10" spans="2:21" ht="15">
      <c r="B10" s="132" t="s">
        <v>124</v>
      </c>
      <c r="C10" s="125" t="s">
        <v>123</v>
      </c>
      <c r="D10" s="125" t="s">
        <v>122</v>
      </c>
      <c r="E10" s="125" t="s">
        <v>121</v>
      </c>
      <c r="F10" s="131" t="s">
        <v>120</v>
      </c>
      <c r="G10" s="131" t="s">
        <v>119</v>
      </c>
      <c r="H10" s="131" t="s">
        <v>118</v>
      </c>
      <c r="I10" s="131" t="s">
        <v>117</v>
      </c>
      <c r="J10" s="131" t="s">
        <v>116</v>
      </c>
      <c r="K10" s="125" t="s">
        <v>115</v>
      </c>
      <c r="L10" s="125" t="s">
        <v>114</v>
      </c>
      <c r="M10" s="125" t="s">
        <v>325</v>
      </c>
      <c r="N10" s="125" t="s">
        <v>84</v>
      </c>
      <c r="O10" s="125" t="s">
        <v>83</v>
      </c>
      <c r="P10" s="125" t="s">
        <v>82</v>
      </c>
      <c r="Q10" s="125" t="s">
        <v>81</v>
      </c>
      <c r="R10" s="125" t="s">
        <v>80</v>
      </c>
      <c r="S10" s="486"/>
      <c r="T10" s="699"/>
      <c r="U10" s="699"/>
    </row>
    <row r="11" spans="2:24" s="128" customFormat="1" ht="16.5" thickBot="1">
      <c r="B11" s="130" t="s">
        <v>113</v>
      </c>
      <c r="C11" s="124" t="s">
        <v>112</v>
      </c>
      <c r="D11" s="124" t="s">
        <v>112</v>
      </c>
      <c r="E11" s="124" t="s">
        <v>75</v>
      </c>
      <c r="F11" s="129" t="s">
        <v>112</v>
      </c>
      <c r="G11" s="129" t="s">
        <v>112</v>
      </c>
      <c r="H11" s="129" t="s">
        <v>112</v>
      </c>
      <c r="I11" s="129" t="s">
        <v>112</v>
      </c>
      <c r="J11" s="129" t="s">
        <v>112</v>
      </c>
      <c r="K11" s="124"/>
      <c r="L11" s="124" t="s">
        <v>112</v>
      </c>
      <c r="M11" s="124" t="s">
        <v>324</v>
      </c>
      <c r="N11" s="124" t="s">
        <v>74</v>
      </c>
      <c r="O11" s="124" t="s">
        <v>75</v>
      </c>
      <c r="P11" s="124" t="s">
        <v>74</v>
      </c>
      <c r="Q11" s="124" t="s">
        <v>74</v>
      </c>
      <c r="R11" s="124" t="s">
        <v>74</v>
      </c>
      <c r="S11" s="487"/>
      <c r="T11" s="700"/>
      <c r="U11" s="700"/>
      <c r="W11" s="122"/>
      <c r="X11" s="122"/>
    </row>
    <row r="12" spans="2:21" ht="15.75">
      <c r="B12" s="512" t="s">
        <v>111</v>
      </c>
      <c r="C12" s="513">
        <v>0.85</v>
      </c>
      <c r="D12" s="513">
        <v>1</v>
      </c>
      <c r="E12" s="513">
        <f aca="true" t="shared" si="0" ref="E12:E30">C12*D12</f>
        <v>0.85</v>
      </c>
      <c r="F12" s="514">
        <v>0.3</v>
      </c>
      <c r="G12" s="514">
        <v>0.3</v>
      </c>
      <c r="H12" s="514">
        <v>3</v>
      </c>
      <c r="I12" s="514">
        <v>0.15</v>
      </c>
      <c r="J12" s="514">
        <v>0.3</v>
      </c>
      <c r="K12" s="513">
        <f aca="true" t="shared" si="1" ref="K12:K35">I12*J12</f>
        <v>0.045</v>
      </c>
      <c r="L12" s="513">
        <f aca="true" t="shared" si="2" ref="L12:L35">H12-G12</f>
        <v>2.7</v>
      </c>
      <c r="M12" s="514">
        <v>2.99</v>
      </c>
      <c r="N12" s="513">
        <f>(C12)*(D12)*(M12)</f>
        <v>2.5415</v>
      </c>
      <c r="O12" s="505">
        <f>E12</f>
        <v>0.85</v>
      </c>
      <c r="P12" s="505">
        <f>O12*0.05</f>
        <v>0.0425</v>
      </c>
      <c r="Q12" s="505">
        <f>N12-R12</f>
        <v>2.1225</v>
      </c>
      <c r="R12" s="505">
        <f>(E12*F12)+(K12*L12)+P12</f>
        <v>0.419</v>
      </c>
      <c r="S12" s="488"/>
      <c r="T12" s="701"/>
      <c r="U12" s="701"/>
    </row>
    <row r="13" spans="2:21" ht="15.75">
      <c r="B13" s="515" t="s">
        <v>110</v>
      </c>
      <c r="C13" s="516">
        <v>1</v>
      </c>
      <c r="D13" s="516">
        <v>1.15</v>
      </c>
      <c r="E13" s="516">
        <f t="shared" si="0"/>
        <v>1.15</v>
      </c>
      <c r="F13" s="517">
        <v>0.3</v>
      </c>
      <c r="G13" s="517">
        <v>0.3</v>
      </c>
      <c r="H13" s="517">
        <v>3</v>
      </c>
      <c r="I13" s="517">
        <v>0.15</v>
      </c>
      <c r="J13" s="517">
        <v>0.3</v>
      </c>
      <c r="K13" s="516">
        <f t="shared" si="1"/>
        <v>0.045</v>
      </c>
      <c r="L13" s="516">
        <f t="shared" si="2"/>
        <v>2.7</v>
      </c>
      <c r="M13" s="517">
        <v>2.73</v>
      </c>
      <c r="N13" s="516">
        <f>(C13)*(D13)*(M13)</f>
        <v>3.1395</v>
      </c>
      <c r="O13" s="506">
        <f>E13</f>
        <v>1.15</v>
      </c>
      <c r="P13" s="506">
        <f>O13*0.05</f>
        <v>0.057499999999999996</v>
      </c>
      <c r="Q13" s="506">
        <f aca="true" t="shared" si="3" ref="Q13:Q32">N13-R13</f>
        <v>2.6155</v>
      </c>
      <c r="R13" s="506">
        <f aca="true" t="shared" si="4" ref="R13:R32">(E13*F13)+(K13*L13)+P13</f>
        <v>0.524</v>
      </c>
      <c r="S13" s="488"/>
      <c r="T13" s="701"/>
      <c r="U13" s="701"/>
    </row>
    <row r="14" spans="2:21" ht="15.75">
      <c r="B14" s="515" t="s">
        <v>109</v>
      </c>
      <c r="C14" s="516">
        <v>1</v>
      </c>
      <c r="D14" s="516">
        <v>1.15</v>
      </c>
      <c r="E14" s="516">
        <f t="shared" si="0"/>
        <v>1.15</v>
      </c>
      <c r="F14" s="517">
        <v>0.3</v>
      </c>
      <c r="G14" s="517">
        <v>0.3</v>
      </c>
      <c r="H14" s="517">
        <v>3</v>
      </c>
      <c r="I14" s="517">
        <v>0.15</v>
      </c>
      <c r="J14" s="517">
        <v>0.3</v>
      </c>
      <c r="K14" s="516">
        <f t="shared" si="1"/>
        <v>0.045</v>
      </c>
      <c r="L14" s="516">
        <f t="shared" si="2"/>
        <v>2.7</v>
      </c>
      <c r="M14" s="517">
        <v>2.55</v>
      </c>
      <c r="N14" s="516">
        <f aca="true" t="shared" si="5" ref="N14:N51">(C14)*(D14)*(M14)</f>
        <v>2.9324999999999997</v>
      </c>
      <c r="O14" s="506">
        <f aca="true" t="shared" si="6" ref="O14:O51">E14</f>
        <v>1.15</v>
      </c>
      <c r="P14" s="506">
        <f aca="true" t="shared" si="7" ref="P14:P32">O14*0.05</f>
        <v>0.057499999999999996</v>
      </c>
      <c r="Q14" s="506">
        <f t="shared" si="3"/>
        <v>2.4084999999999996</v>
      </c>
      <c r="R14" s="506">
        <f t="shared" si="4"/>
        <v>0.524</v>
      </c>
      <c r="S14" s="488"/>
      <c r="T14" s="701"/>
      <c r="U14" s="701"/>
    </row>
    <row r="15" spans="2:21" ht="15.75">
      <c r="B15" s="515" t="s">
        <v>108</v>
      </c>
      <c r="C15" s="516">
        <v>0.8</v>
      </c>
      <c r="D15" s="516">
        <v>0.95</v>
      </c>
      <c r="E15" s="516">
        <f t="shared" si="0"/>
        <v>0.76</v>
      </c>
      <c r="F15" s="517">
        <v>0.3</v>
      </c>
      <c r="G15" s="517">
        <v>0.3</v>
      </c>
      <c r="H15" s="517">
        <v>3</v>
      </c>
      <c r="I15" s="517">
        <v>0.15</v>
      </c>
      <c r="J15" s="517">
        <v>0.3</v>
      </c>
      <c r="K15" s="516">
        <f t="shared" si="1"/>
        <v>0.045</v>
      </c>
      <c r="L15" s="516">
        <f t="shared" si="2"/>
        <v>2.7</v>
      </c>
      <c r="M15" s="517">
        <v>2.4</v>
      </c>
      <c r="N15" s="516">
        <f t="shared" si="5"/>
        <v>1.8239999999999998</v>
      </c>
      <c r="O15" s="506">
        <f t="shared" si="6"/>
        <v>0.76</v>
      </c>
      <c r="P15" s="506">
        <f t="shared" si="7"/>
        <v>0.038000000000000006</v>
      </c>
      <c r="Q15" s="506">
        <f t="shared" si="3"/>
        <v>1.4364999999999999</v>
      </c>
      <c r="R15" s="506">
        <f t="shared" si="4"/>
        <v>0.38749999999999996</v>
      </c>
      <c r="S15" s="488"/>
      <c r="T15" s="701"/>
      <c r="U15" s="701"/>
    </row>
    <row r="16" spans="2:21" ht="15.75">
      <c r="B16" s="515" t="s">
        <v>107</v>
      </c>
      <c r="C16" s="516">
        <v>1</v>
      </c>
      <c r="D16" s="516">
        <v>1.15</v>
      </c>
      <c r="E16" s="516">
        <f t="shared" si="0"/>
        <v>1.15</v>
      </c>
      <c r="F16" s="517">
        <v>0.3</v>
      </c>
      <c r="G16" s="517">
        <v>0.3</v>
      </c>
      <c r="H16" s="517">
        <v>3</v>
      </c>
      <c r="I16" s="517">
        <v>0.15</v>
      </c>
      <c r="J16" s="517">
        <v>0.3</v>
      </c>
      <c r="K16" s="516">
        <f t="shared" si="1"/>
        <v>0.045</v>
      </c>
      <c r="L16" s="516">
        <f t="shared" si="2"/>
        <v>2.7</v>
      </c>
      <c r="M16" s="517">
        <v>2.29</v>
      </c>
      <c r="N16" s="516">
        <f t="shared" si="5"/>
        <v>2.6334999999999997</v>
      </c>
      <c r="O16" s="506">
        <f t="shared" si="6"/>
        <v>1.15</v>
      </c>
      <c r="P16" s="506">
        <f t="shared" si="7"/>
        <v>0.057499999999999996</v>
      </c>
      <c r="Q16" s="506">
        <f t="shared" si="3"/>
        <v>2.1094999999999997</v>
      </c>
      <c r="R16" s="506">
        <f t="shared" si="4"/>
        <v>0.524</v>
      </c>
      <c r="S16" s="488"/>
      <c r="T16" s="701"/>
      <c r="U16" s="701"/>
    </row>
    <row r="17" spans="2:21" ht="15.75">
      <c r="B17" s="515" t="s">
        <v>106</v>
      </c>
      <c r="C17" s="516">
        <v>0.85</v>
      </c>
      <c r="D17" s="516">
        <v>1</v>
      </c>
      <c r="E17" s="516">
        <f t="shared" si="0"/>
        <v>0.85</v>
      </c>
      <c r="F17" s="517">
        <v>0.3</v>
      </c>
      <c r="G17" s="517">
        <v>0.3</v>
      </c>
      <c r="H17" s="517">
        <v>3</v>
      </c>
      <c r="I17" s="517">
        <v>0.15</v>
      </c>
      <c r="J17" s="517">
        <v>0.3</v>
      </c>
      <c r="K17" s="516">
        <f t="shared" si="1"/>
        <v>0.045</v>
      </c>
      <c r="L17" s="516">
        <f t="shared" si="2"/>
        <v>2.7</v>
      </c>
      <c r="M17" s="517">
        <v>2.09</v>
      </c>
      <c r="N17" s="516">
        <f t="shared" si="5"/>
        <v>1.7764999999999997</v>
      </c>
      <c r="O17" s="506">
        <f t="shared" si="6"/>
        <v>0.85</v>
      </c>
      <c r="P17" s="506">
        <f t="shared" si="7"/>
        <v>0.0425</v>
      </c>
      <c r="Q17" s="506">
        <f t="shared" si="3"/>
        <v>1.3574999999999997</v>
      </c>
      <c r="R17" s="506">
        <f t="shared" si="4"/>
        <v>0.419</v>
      </c>
      <c r="S17" s="488"/>
      <c r="T17" s="701"/>
      <c r="U17" s="701"/>
    </row>
    <row r="18" spans="2:21" ht="15.75">
      <c r="B18" s="515" t="s">
        <v>105</v>
      </c>
      <c r="C18" s="516">
        <v>0.8</v>
      </c>
      <c r="D18" s="516">
        <v>0.95</v>
      </c>
      <c r="E18" s="516">
        <f t="shared" si="0"/>
        <v>0.76</v>
      </c>
      <c r="F18" s="517">
        <v>0.3</v>
      </c>
      <c r="G18" s="517">
        <v>0.3</v>
      </c>
      <c r="H18" s="517">
        <v>3</v>
      </c>
      <c r="I18" s="517">
        <v>0.15</v>
      </c>
      <c r="J18" s="517">
        <v>0.3</v>
      </c>
      <c r="K18" s="516">
        <f t="shared" si="1"/>
        <v>0.045</v>
      </c>
      <c r="L18" s="516">
        <f t="shared" si="2"/>
        <v>2.7</v>
      </c>
      <c r="M18" s="517">
        <v>1.91</v>
      </c>
      <c r="N18" s="516">
        <f t="shared" si="5"/>
        <v>1.4516</v>
      </c>
      <c r="O18" s="506">
        <f t="shared" si="6"/>
        <v>0.76</v>
      </c>
      <c r="P18" s="506">
        <f t="shared" si="7"/>
        <v>0.038000000000000006</v>
      </c>
      <c r="Q18" s="506">
        <f t="shared" si="3"/>
        <v>1.0641</v>
      </c>
      <c r="R18" s="506">
        <f t="shared" si="4"/>
        <v>0.38749999999999996</v>
      </c>
      <c r="S18" s="488"/>
      <c r="T18" s="701"/>
      <c r="U18" s="701"/>
    </row>
    <row r="19" spans="2:21" ht="15.75">
      <c r="B19" s="515" t="s">
        <v>104</v>
      </c>
      <c r="C19" s="516">
        <v>0.8</v>
      </c>
      <c r="D19" s="516">
        <v>0.95</v>
      </c>
      <c r="E19" s="516">
        <f t="shared" si="0"/>
        <v>0.76</v>
      </c>
      <c r="F19" s="517">
        <v>0.3</v>
      </c>
      <c r="G19" s="517">
        <v>0.3</v>
      </c>
      <c r="H19" s="517">
        <v>3</v>
      </c>
      <c r="I19" s="517">
        <v>0.15</v>
      </c>
      <c r="J19" s="517">
        <v>0.3</v>
      </c>
      <c r="K19" s="516">
        <f t="shared" si="1"/>
        <v>0.045</v>
      </c>
      <c r="L19" s="516">
        <f t="shared" si="2"/>
        <v>2.7</v>
      </c>
      <c r="M19" s="517">
        <v>1.76</v>
      </c>
      <c r="N19" s="516">
        <f t="shared" si="5"/>
        <v>1.3376000000000001</v>
      </c>
      <c r="O19" s="506">
        <f t="shared" si="6"/>
        <v>0.76</v>
      </c>
      <c r="P19" s="506">
        <f t="shared" si="7"/>
        <v>0.038000000000000006</v>
      </c>
      <c r="Q19" s="506">
        <f t="shared" si="3"/>
        <v>0.9501000000000002</v>
      </c>
      <c r="R19" s="506">
        <f t="shared" si="4"/>
        <v>0.38749999999999996</v>
      </c>
      <c r="S19" s="488"/>
      <c r="T19" s="701"/>
      <c r="U19" s="701"/>
    </row>
    <row r="20" spans="2:21" ht="15.75">
      <c r="B20" s="515" t="s">
        <v>103</v>
      </c>
      <c r="C20" s="516">
        <v>0.8</v>
      </c>
      <c r="D20" s="516">
        <v>0.95</v>
      </c>
      <c r="E20" s="516">
        <f t="shared" si="0"/>
        <v>0.76</v>
      </c>
      <c r="F20" s="517">
        <v>0.3</v>
      </c>
      <c r="G20" s="517">
        <v>0.3</v>
      </c>
      <c r="H20" s="517">
        <v>3</v>
      </c>
      <c r="I20" s="517">
        <v>0.15</v>
      </c>
      <c r="J20" s="517">
        <v>0.3</v>
      </c>
      <c r="K20" s="516">
        <f t="shared" si="1"/>
        <v>0.045</v>
      </c>
      <c r="L20" s="516">
        <f t="shared" si="2"/>
        <v>2.7</v>
      </c>
      <c r="M20" s="517">
        <v>1.6</v>
      </c>
      <c r="N20" s="516">
        <f t="shared" si="5"/>
        <v>1.2160000000000002</v>
      </c>
      <c r="O20" s="506">
        <f t="shared" si="6"/>
        <v>0.76</v>
      </c>
      <c r="P20" s="506">
        <f t="shared" si="7"/>
        <v>0.038000000000000006</v>
      </c>
      <c r="Q20" s="506">
        <f t="shared" si="3"/>
        <v>0.8285000000000002</v>
      </c>
      <c r="R20" s="506">
        <f t="shared" si="4"/>
        <v>0.38749999999999996</v>
      </c>
      <c r="S20" s="488"/>
      <c r="T20" s="701"/>
      <c r="U20" s="701"/>
    </row>
    <row r="21" spans="2:21" ht="15.75">
      <c r="B21" s="515" t="s">
        <v>102</v>
      </c>
      <c r="C21" s="516">
        <v>0.8</v>
      </c>
      <c r="D21" s="516">
        <v>0.95</v>
      </c>
      <c r="E21" s="516">
        <f t="shared" si="0"/>
        <v>0.76</v>
      </c>
      <c r="F21" s="517">
        <v>0.3</v>
      </c>
      <c r="G21" s="517">
        <v>0.3</v>
      </c>
      <c r="H21" s="517">
        <v>3</v>
      </c>
      <c r="I21" s="517">
        <v>0.15</v>
      </c>
      <c r="J21" s="517">
        <v>0.3</v>
      </c>
      <c r="K21" s="516">
        <f t="shared" si="1"/>
        <v>0.045</v>
      </c>
      <c r="L21" s="516">
        <f t="shared" si="2"/>
        <v>2.7</v>
      </c>
      <c r="M21" s="517">
        <v>2.88</v>
      </c>
      <c r="N21" s="516">
        <f t="shared" si="5"/>
        <v>2.1888</v>
      </c>
      <c r="O21" s="506">
        <f t="shared" si="6"/>
        <v>0.76</v>
      </c>
      <c r="P21" s="506">
        <f t="shared" si="7"/>
        <v>0.038000000000000006</v>
      </c>
      <c r="Q21" s="506">
        <f t="shared" si="3"/>
        <v>1.8013000000000001</v>
      </c>
      <c r="R21" s="506">
        <f t="shared" si="4"/>
        <v>0.38749999999999996</v>
      </c>
      <c r="S21" s="488"/>
      <c r="T21" s="701"/>
      <c r="U21" s="701"/>
    </row>
    <row r="22" spans="2:21" ht="15.75">
      <c r="B22" s="515" t="s">
        <v>101</v>
      </c>
      <c r="C22" s="516">
        <v>1</v>
      </c>
      <c r="D22" s="516">
        <v>1.15</v>
      </c>
      <c r="E22" s="516">
        <f t="shared" si="0"/>
        <v>1.15</v>
      </c>
      <c r="F22" s="517">
        <v>0.3</v>
      </c>
      <c r="G22" s="517">
        <v>0.3</v>
      </c>
      <c r="H22" s="517">
        <v>3</v>
      </c>
      <c r="I22" s="517">
        <v>0.15</v>
      </c>
      <c r="J22" s="517">
        <v>0.3</v>
      </c>
      <c r="K22" s="516">
        <f t="shared" si="1"/>
        <v>0.045</v>
      </c>
      <c r="L22" s="516">
        <f t="shared" si="2"/>
        <v>2.7</v>
      </c>
      <c r="M22" s="517">
        <v>2.4</v>
      </c>
      <c r="N22" s="516">
        <f t="shared" si="5"/>
        <v>2.76</v>
      </c>
      <c r="O22" s="506">
        <f t="shared" si="6"/>
        <v>1.15</v>
      </c>
      <c r="P22" s="506">
        <f t="shared" si="7"/>
        <v>0.057499999999999996</v>
      </c>
      <c r="Q22" s="506">
        <f t="shared" si="3"/>
        <v>2.2359999999999998</v>
      </c>
      <c r="R22" s="506">
        <f t="shared" si="4"/>
        <v>0.524</v>
      </c>
      <c r="S22" s="488"/>
      <c r="T22" s="701"/>
      <c r="U22" s="701"/>
    </row>
    <row r="23" spans="2:24" s="127" customFormat="1" ht="15.75">
      <c r="B23" s="515" t="s">
        <v>100</v>
      </c>
      <c r="C23" s="516">
        <v>0.8</v>
      </c>
      <c r="D23" s="516">
        <v>0.95</v>
      </c>
      <c r="E23" s="516">
        <f t="shared" si="0"/>
        <v>0.76</v>
      </c>
      <c r="F23" s="517">
        <v>0.3</v>
      </c>
      <c r="G23" s="517">
        <v>0.3</v>
      </c>
      <c r="H23" s="517">
        <v>3</v>
      </c>
      <c r="I23" s="517">
        <v>0.15</v>
      </c>
      <c r="J23" s="517">
        <v>0.3</v>
      </c>
      <c r="K23" s="516">
        <f t="shared" si="1"/>
        <v>0.045</v>
      </c>
      <c r="L23" s="516">
        <f t="shared" si="2"/>
        <v>2.7</v>
      </c>
      <c r="M23" s="517">
        <v>1.91</v>
      </c>
      <c r="N23" s="516">
        <f t="shared" si="5"/>
        <v>1.4516</v>
      </c>
      <c r="O23" s="506">
        <f t="shared" si="6"/>
        <v>0.76</v>
      </c>
      <c r="P23" s="506">
        <f t="shared" si="7"/>
        <v>0.038000000000000006</v>
      </c>
      <c r="Q23" s="506">
        <f t="shared" si="3"/>
        <v>1.0641</v>
      </c>
      <c r="R23" s="506">
        <f t="shared" si="4"/>
        <v>0.38749999999999996</v>
      </c>
      <c r="S23" s="489"/>
      <c r="T23" s="701"/>
      <c r="U23" s="701"/>
      <c r="W23" s="122"/>
      <c r="X23" s="122"/>
    </row>
    <row r="24" spans="2:21" ht="15.75">
      <c r="B24" s="515" t="s">
        <v>99</v>
      </c>
      <c r="C24" s="516">
        <v>0.85</v>
      </c>
      <c r="D24" s="516">
        <v>1</v>
      </c>
      <c r="E24" s="516">
        <f t="shared" si="0"/>
        <v>0.85</v>
      </c>
      <c r="F24" s="517">
        <v>0.3</v>
      </c>
      <c r="G24" s="517">
        <v>0.3</v>
      </c>
      <c r="H24" s="517">
        <v>3</v>
      </c>
      <c r="I24" s="517">
        <v>0.15</v>
      </c>
      <c r="J24" s="517">
        <v>0.3</v>
      </c>
      <c r="K24" s="516">
        <f t="shared" si="1"/>
        <v>0.045</v>
      </c>
      <c r="L24" s="516">
        <f t="shared" si="2"/>
        <v>2.7</v>
      </c>
      <c r="M24" s="517">
        <v>1.6</v>
      </c>
      <c r="N24" s="516">
        <f t="shared" si="5"/>
        <v>1.36</v>
      </c>
      <c r="O24" s="506">
        <f t="shared" si="6"/>
        <v>0.85</v>
      </c>
      <c r="P24" s="506">
        <f t="shared" si="7"/>
        <v>0.0425</v>
      </c>
      <c r="Q24" s="506">
        <f t="shared" si="3"/>
        <v>0.9410000000000001</v>
      </c>
      <c r="R24" s="506">
        <f t="shared" si="4"/>
        <v>0.419</v>
      </c>
      <c r="S24" s="488"/>
      <c r="T24" s="701"/>
      <c r="U24" s="701"/>
    </row>
    <row r="25" spans="2:21" ht="15.75">
      <c r="B25" s="515" t="s">
        <v>98</v>
      </c>
      <c r="C25" s="516">
        <v>0.95</v>
      </c>
      <c r="D25" s="516">
        <v>1.1</v>
      </c>
      <c r="E25" s="516">
        <f t="shared" si="0"/>
        <v>1.045</v>
      </c>
      <c r="F25" s="517">
        <v>0.3</v>
      </c>
      <c r="G25" s="517">
        <v>0.3</v>
      </c>
      <c r="H25" s="517">
        <v>3</v>
      </c>
      <c r="I25" s="517">
        <v>0.15</v>
      </c>
      <c r="J25" s="517">
        <v>0.3</v>
      </c>
      <c r="K25" s="516">
        <f t="shared" si="1"/>
        <v>0.045</v>
      </c>
      <c r="L25" s="516">
        <f t="shared" si="2"/>
        <v>2.7</v>
      </c>
      <c r="M25" s="517">
        <v>2.99</v>
      </c>
      <c r="N25" s="516">
        <f t="shared" si="5"/>
        <v>3.12455</v>
      </c>
      <c r="O25" s="506">
        <f t="shared" si="6"/>
        <v>1.045</v>
      </c>
      <c r="P25" s="506">
        <f t="shared" si="7"/>
        <v>0.05225</v>
      </c>
      <c r="Q25" s="506">
        <f t="shared" si="3"/>
        <v>2.6373</v>
      </c>
      <c r="R25" s="506">
        <f t="shared" si="4"/>
        <v>0.48724999999999996</v>
      </c>
      <c r="S25" s="488"/>
      <c r="T25" s="701"/>
      <c r="U25" s="701"/>
    </row>
    <row r="26" spans="2:21" ht="15.75">
      <c r="B26" s="515" t="s">
        <v>97</v>
      </c>
      <c r="C26" s="516">
        <v>0.95</v>
      </c>
      <c r="D26" s="516">
        <v>1.1</v>
      </c>
      <c r="E26" s="516">
        <f t="shared" si="0"/>
        <v>1.045</v>
      </c>
      <c r="F26" s="517">
        <v>0.3</v>
      </c>
      <c r="G26" s="517">
        <v>0.3</v>
      </c>
      <c r="H26" s="517">
        <v>3</v>
      </c>
      <c r="I26" s="517">
        <v>0.15</v>
      </c>
      <c r="J26" s="517">
        <v>0.3</v>
      </c>
      <c r="K26" s="516">
        <f t="shared" si="1"/>
        <v>0.045</v>
      </c>
      <c r="L26" s="516">
        <f t="shared" si="2"/>
        <v>2.7</v>
      </c>
      <c r="M26" s="517">
        <v>2.73</v>
      </c>
      <c r="N26" s="516">
        <f t="shared" si="5"/>
        <v>2.8528499999999997</v>
      </c>
      <c r="O26" s="506">
        <f t="shared" si="6"/>
        <v>1.045</v>
      </c>
      <c r="P26" s="506">
        <f t="shared" si="7"/>
        <v>0.05225</v>
      </c>
      <c r="Q26" s="506">
        <f t="shared" si="3"/>
        <v>2.3655999999999997</v>
      </c>
      <c r="R26" s="506">
        <f t="shared" si="4"/>
        <v>0.48724999999999996</v>
      </c>
      <c r="S26" s="488"/>
      <c r="T26" s="701"/>
      <c r="U26" s="701"/>
    </row>
    <row r="27" spans="2:21" ht="15.75">
      <c r="B27" s="515" t="s">
        <v>96</v>
      </c>
      <c r="C27" s="516">
        <v>1.05</v>
      </c>
      <c r="D27" s="516">
        <v>1.2</v>
      </c>
      <c r="E27" s="516">
        <f t="shared" si="0"/>
        <v>1.26</v>
      </c>
      <c r="F27" s="517">
        <v>0.3</v>
      </c>
      <c r="G27" s="517">
        <v>0.3</v>
      </c>
      <c r="H27" s="517">
        <v>3</v>
      </c>
      <c r="I27" s="517">
        <v>0.15</v>
      </c>
      <c r="J27" s="517">
        <v>0.3</v>
      </c>
      <c r="K27" s="516">
        <f t="shared" si="1"/>
        <v>0.045</v>
      </c>
      <c r="L27" s="516">
        <f t="shared" si="2"/>
        <v>2.7</v>
      </c>
      <c r="M27" s="517">
        <v>2.55</v>
      </c>
      <c r="N27" s="516">
        <f t="shared" si="5"/>
        <v>3.2129999999999996</v>
      </c>
      <c r="O27" s="506">
        <f t="shared" si="6"/>
        <v>1.26</v>
      </c>
      <c r="P27" s="506">
        <f t="shared" si="7"/>
        <v>0.063</v>
      </c>
      <c r="Q27" s="506">
        <f t="shared" si="3"/>
        <v>2.6504999999999996</v>
      </c>
      <c r="R27" s="506">
        <f t="shared" si="4"/>
        <v>0.5625</v>
      </c>
      <c r="S27" s="488"/>
      <c r="T27" s="701"/>
      <c r="U27" s="701"/>
    </row>
    <row r="28" spans="2:21" ht="15.75">
      <c r="B28" s="515" t="s">
        <v>95</v>
      </c>
      <c r="C28" s="516">
        <v>1</v>
      </c>
      <c r="D28" s="516">
        <v>1.15</v>
      </c>
      <c r="E28" s="516">
        <f t="shared" si="0"/>
        <v>1.15</v>
      </c>
      <c r="F28" s="517">
        <v>0.3</v>
      </c>
      <c r="G28" s="517">
        <v>0.3</v>
      </c>
      <c r="H28" s="517">
        <v>3</v>
      </c>
      <c r="I28" s="517">
        <v>0.15</v>
      </c>
      <c r="J28" s="517">
        <v>0.3</v>
      </c>
      <c r="K28" s="516">
        <f t="shared" si="1"/>
        <v>0.045</v>
      </c>
      <c r="L28" s="516">
        <f t="shared" si="2"/>
        <v>2.7</v>
      </c>
      <c r="M28" s="517">
        <v>2.29</v>
      </c>
      <c r="N28" s="516">
        <f t="shared" si="5"/>
        <v>2.6334999999999997</v>
      </c>
      <c r="O28" s="506">
        <f t="shared" si="6"/>
        <v>1.15</v>
      </c>
      <c r="P28" s="506">
        <f t="shared" si="7"/>
        <v>0.057499999999999996</v>
      </c>
      <c r="Q28" s="506">
        <f t="shared" si="3"/>
        <v>2.1094999999999997</v>
      </c>
      <c r="R28" s="506">
        <f t="shared" si="4"/>
        <v>0.524</v>
      </c>
      <c r="S28" s="488"/>
      <c r="T28" s="701"/>
      <c r="U28" s="701"/>
    </row>
    <row r="29" spans="2:21" ht="15.75">
      <c r="B29" s="515" t="s">
        <v>94</v>
      </c>
      <c r="C29" s="516">
        <v>0.8</v>
      </c>
      <c r="D29" s="516">
        <v>0.95</v>
      </c>
      <c r="E29" s="516">
        <f t="shared" si="0"/>
        <v>0.76</v>
      </c>
      <c r="F29" s="517">
        <v>0.3</v>
      </c>
      <c r="G29" s="517">
        <v>0.3</v>
      </c>
      <c r="H29" s="517">
        <v>3</v>
      </c>
      <c r="I29" s="517">
        <v>0.15</v>
      </c>
      <c r="J29" s="517">
        <v>0.3</v>
      </c>
      <c r="K29" s="516">
        <f t="shared" si="1"/>
        <v>0.045</v>
      </c>
      <c r="L29" s="516">
        <f t="shared" si="2"/>
        <v>2.7</v>
      </c>
      <c r="M29" s="517">
        <v>2.09</v>
      </c>
      <c r="N29" s="516">
        <f t="shared" si="5"/>
        <v>1.5883999999999998</v>
      </c>
      <c r="O29" s="506">
        <f t="shared" si="6"/>
        <v>0.76</v>
      </c>
      <c r="P29" s="506">
        <f t="shared" si="7"/>
        <v>0.038000000000000006</v>
      </c>
      <c r="Q29" s="506">
        <f t="shared" si="3"/>
        <v>1.2008999999999999</v>
      </c>
      <c r="R29" s="506">
        <f t="shared" si="4"/>
        <v>0.38749999999999996</v>
      </c>
      <c r="S29" s="488"/>
      <c r="T29" s="701"/>
      <c r="U29" s="701"/>
    </row>
    <row r="30" spans="2:21" ht="15.75">
      <c r="B30" s="515" t="s">
        <v>93</v>
      </c>
      <c r="C30" s="516">
        <v>0.8</v>
      </c>
      <c r="D30" s="516">
        <v>0.95</v>
      </c>
      <c r="E30" s="516">
        <f t="shared" si="0"/>
        <v>0.76</v>
      </c>
      <c r="F30" s="517">
        <v>0.3</v>
      </c>
      <c r="G30" s="517">
        <v>0.3</v>
      </c>
      <c r="H30" s="517">
        <v>3</v>
      </c>
      <c r="I30" s="517">
        <v>0.15</v>
      </c>
      <c r="J30" s="517">
        <v>0.3</v>
      </c>
      <c r="K30" s="516">
        <f t="shared" si="1"/>
        <v>0.045</v>
      </c>
      <c r="L30" s="516">
        <f t="shared" si="2"/>
        <v>2.7</v>
      </c>
      <c r="M30" s="517">
        <v>1.91</v>
      </c>
      <c r="N30" s="516">
        <f t="shared" si="5"/>
        <v>1.4516</v>
      </c>
      <c r="O30" s="506">
        <f t="shared" si="6"/>
        <v>0.76</v>
      </c>
      <c r="P30" s="506">
        <f t="shared" si="7"/>
        <v>0.038000000000000006</v>
      </c>
      <c r="Q30" s="506">
        <f t="shared" si="3"/>
        <v>1.0641</v>
      </c>
      <c r="R30" s="506">
        <f t="shared" si="4"/>
        <v>0.38749999999999996</v>
      </c>
      <c r="S30" s="488"/>
      <c r="T30" s="701"/>
      <c r="U30" s="701"/>
    </row>
    <row r="31" spans="2:21" ht="15.75">
      <c r="B31" s="515" t="s">
        <v>92</v>
      </c>
      <c r="C31" s="516">
        <v>0.8</v>
      </c>
      <c r="D31" s="516">
        <v>0.95</v>
      </c>
      <c r="E31" s="516">
        <f aca="true" t="shared" si="8" ref="E31:E42">C31*D31</f>
        <v>0.76</v>
      </c>
      <c r="F31" s="517">
        <v>0.3</v>
      </c>
      <c r="G31" s="517">
        <v>0.3</v>
      </c>
      <c r="H31" s="517">
        <v>3</v>
      </c>
      <c r="I31" s="517">
        <v>0.15</v>
      </c>
      <c r="J31" s="517">
        <v>0.3</v>
      </c>
      <c r="K31" s="516">
        <f t="shared" si="1"/>
        <v>0.045</v>
      </c>
      <c r="L31" s="516">
        <f t="shared" si="2"/>
        <v>2.7</v>
      </c>
      <c r="M31" s="517">
        <v>1.6</v>
      </c>
      <c r="N31" s="516">
        <f t="shared" si="5"/>
        <v>1.2160000000000002</v>
      </c>
      <c r="O31" s="506">
        <f t="shared" si="6"/>
        <v>0.76</v>
      </c>
      <c r="P31" s="506">
        <f t="shared" si="7"/>
        <v>0.038000000000000006</v>
      </c>
      <c r="Q31" s="506">
        <f t="shared" si="3"/>
        <v>0.8285000000000002</v>
      </c>
      <c r="R31" s="506">
        <f t="shared" si="4"/>
        <v>0.38749999999999996</v>
      </c>
      <c r="S31" s="488"/>
      <c r="T31" s="701"/>
      <c r="U31" s="701"/>
    </row>
    <row r="32" spans="2:21" ht="15.75">
      <c r="B32" s="515" t="s">
        <v>91</v>
      </c>
      <c r="C32" s="516">
        <v>0.95</v>
      </c>
      <c r="D32" s="516">
        <v>1.1</v>
      </c>
      <c r="E32" s="516">
        <f t="shared" si="8"/>
        <v>1.045</v>
      </c>
      <c r="F32" s="517">
        <v>0.3</v>
      </c>
      <c r="G32" s="517">
        <v>0.3</v>
      </c>
      <c r="H32" s="517">
        <v>3</v>
      </c>
      <c r="I32" s="517">
        <v>0.15</v>
      </c>
      <c r="J32" s="517">
        <v>0.3</v>
      </c>
      <c r="K32" s="516">
        <f t="shared" si="1"/>
        <v>0.045</v>
      </c>
      <c r="L32" s="516">
        <f t="shared" si="2"/>
        <v>2.7</v>
      </c>
      <c r="M32" s="517">
        <v>2.99</v>
      </c>
      <c r="N32" s="516">
        <f t="shared" si="5"/>
        <v>3.12455</v>
      </c>
      <c r="O32" s="506">
        <f t="shared" si="6"/>
        <v>1.045</v>
      </c>
      <c r="P32" s="506">
        <f t="shared" si="7"/>
        <v>0.05225</v>
      </c>
      <c r="Q32" s="506">
        <f t="shared" si="3"/>
        <v>2.6373</v>
      </c>
      <c r="R32" s="506">
        <f t="shared" si="4"/>
        <v>0.48724999999999996</v>
      </c>
      <c r="S32" s="488"/>
      <c r="T32" s="701"/>
      <c r="U32" s="701"/>
    </row>
    <row r="33" spans="2:21" ht="15.75">
      <c r="B33" s="515" t="s">
        <v>90</v>
      </c>
      <c r="C33" s="516">
        <v>1</v>
      </c>
      <c r="D33" s="516">
        <v>1.15</v>
      </c>
      <c r="E33" s="516">
        <f t="shared" si="8"/>
        <v>1.15</v>
      </c>
      <c r="F33" s="517">
        <v>0.3</v>
      </c>
      <c r="G33" s="517">
        <v>0.3</v>
      </c>
      <c r="H33" s="517">
        <v>3</v>
      </c>
      <c r="I33" s="517">
        <v>0.15</v>
      </c>
      <c r="J33" s="517">
        <v>0.3</v>
      </c>
      <c r="K33" s="516">
        <f t="shared" si="1"/>
        <v>0.045</v>
      </c>
      <c r="L33" s="516">
        <f t="shared" si="2"/>
        <v>2.7</v>
      </c>
      <c r="M33" s="517">
        <v>2.67</v>
      </c>
      <c r="N33" s="516">
        <f t="shared" si="5"/>
        <v>3.0704999999999996</v>
      </c>
      <c r="O33" s="506">
        <f t="shared" si="6"/>
        <v>1.15</v>
      </c>
      <c r="P33" s="506">
        <f aca="true" t="shared" si="9" ref="P33:P51">O33*0.05</f>
        <v>0.057499999999999996</v>
      </c>
      <c r="Q33" s="506">
        <f aca="true" t="shared" si="10" ref="Q33:Q51">N33-R33</f>
        <v>2.5464999999999995</v>
      </c>
      <c r="R33" s="506">
        <f aca="true" t="shared" si="11" ref="R33:R51">(E33*F33)+(K33*L33)+P33</f>
        <v>0.524</v>
      </c>
      <c r="S33" s="488"/>
      <c r="T33" s="701"/>
      <c r="U33" s="701"/>
    </row>
    <row r="34" spans="2:21" ht="15.75">
      <c r="B34" s="515" t="s">
        <v>89</v>
      </c>
      <c r="C34" s="516">
        <v>0.8</v>
      </c>
      <c r="D34" s="516">
        <v>0.95</v>
      </c>
      <c r="E34" s="516">
        <f t="shared" si="8"/>
        <v>0.76</v>
      </c>
      <c r="F34" s="517">
        <v>0.3</v>
      </c>
      <c r="G34" s="517">
        <v>0.3</v>
      </c>
      <c r="H34" s="517">
        <v>3</v>
      </c>
      <c r="I34" s="517">
        <v>0.15</v>
      </c>
      <c r="J34" s="517">
        <v>0.3</v>
      </c>
      <c r="K34" s="516">
        <f t="shared" si="1"/>
        <v>0.045</v>
      </c>
      <c r="L34" s="516">
        <f t="shared" si="2"/>
        <v>2.7</v>
      </c>
      <c r="M34" s="517">
        <v>2.55</v>
      </c>
      <c r="N34" s="516">
        <f t="shared" si="5"/>
        <v>1.938</v>
      </c>
      <c r="O34" s="506">
        <f t="shared" si="6"/>
        <v>0.76</v>
      </c>
      <c r="P34" s="506">
        <f t="shared" si="9"/>
        <v>0.038000000000000006</v>
      </c>
      <c r="Q34" s="506">
        <f t="shared" si="10"/>
        <v>1.5505</v>
      </c>
      <c r="R34" s="506">
        <f t="shared" si="11"/>
        <v>0.38749999999999996</v>
      </c>
      <c r="S34" s="488"/>
      <c r="T34" s="701"/>
      <c r="U34" s="701"/>
    </row>
    <row r="35" spans="2:21" ht="15.75">
      <c r="B35" s="515" t="s">
        <v>88</v>
      </c>
      <c r="C35" s="516">
        <v>0.8</v>
      </c>
      <c r="D35" s="516">
        <v>0.95</v>
      </c>
      <c r="E35" s="516">
        <f t="shared" si="8"/>
        <v>0.76</v>
      </c>
      <c r="F35" s="517">
        <v>0.3</v>
      </c>
      <c r="G35" s="517">
        <v>0.3</v>
      </c>
      <c r="H35" s="517">
        <v>3</v>
      </c>
      <c r="I35" s="517">
        <v>0.15</v>
      </c>
      <c r="J35" s="517">
        <v>0.3</v>
      </c>
      <c r="K35" s="516">
        <f t="shared" si="1"/>
        <v>0.045</v>
      </c>
      <c r="L35" s="516">
        <f t="shared" si="2"/>
        <v>2.7</v>
      </c>
      <c r="M35" s="517">
        <v>2.4</v>
      </c>
      <c r="N35" s="516">
        <f t="shared" si="5"/>
        <v>1.8239999999999998</v>
      </c>
      <c r="O35" s="506">
        <f t="shared" si="6"/>
        <v>0.76</v>
      </c>
      <c r="P35" s="506">
        <f t="shared" si="9"/>
        <v>0.038000000000000006</v>
      </c>
      <c r="Q35" s="506">
        <f t="shared" si="10"/>
        <v>1.4364999999999999</v>
      </c>
      <c r="R35" s="506">
        <f t="shared" si="11"/>
        <v>0.38749999999999996</v>
      </c>
      <c r="S35" s="488"/>
      <c r="T35" s="701"/>
      <c r="U35" s="701"/>
    </row>
    <row r="36" spans="2:21" ht="15.75">
      <c r="B36" s="515" t="s">
        <v>87</v>
      </c>
      <c r="C36" s="516">
        <v>0.8</v>
      </c>
      <c r="D36" s="516">
        <v>0.95</v>
      </c>
      <c r="E36" s="516">
        <f t="shared" si="8"/>
        <v>0.76</v>
      </c>
      <c r="F36" s="517">
        <v>0.3</v>
      </c>
      <c r="G36" s="517">
        <v>0.3</v>
      </c>
      <c r="H36" s="517">
        <v>3</v>
      </c>
      <c r="I36" s="517">
        <v>0.15</v>
      </c>
      <c r="J36" s="517">
        <v>0.3</v>
      </c>
      <c r="K36" s="516">
        <f aca="true" t="shared" si="12" ref="K36:K42">I36*J36</f>
        <v>0.045</v>
      </c>
      <c r="L36" s="516">
        <f aca="true" t="shared" si="13" ref="L36:L42">H36-G36</f>
        <v>2.7</v>
      </c>
      <c r="M36" s="517">
        <v>2.29</v>
      </c>
      <c r="N36" s="516">
        <f t="shared" si="5"/>
        <v>1.7404</v>
      </c>
      <c r="O36" s="506">
        <f t="shared" si="6"/>
        <v>0.76</v>
      </c>
      <c r="P36" s="506">
        <f t="shared" si="9"/>
        <v>0.038000000000000006</v>
      </c>
      <c r="Q36" s="506">
        <f t="shared" si="10"/>
        <v>1.3529</v>
      </c>
      <c r="R36" s="506">
        <f t="shared" si="11"/>
        <v>0.38749999999999996</v>
      </c>
      <c r="S36" s="488"/>
      <c r="T36" s="701"/>
      <c r="U36" s="701"/>
    </row>
    <row r="37" spans="2:21" ht="15.75">
      <c r="B37" s="515" t="s">
        <v>86</v>
      </c>
      <c r="C37" s="516">
        <v>0.8</v>
      </c>
      <c r="D37" s="516">
        <v>0.95</v>
      </c>
      <c r="E37" s="516">
        <f t="shared" si="8"/>
        <v>0.76</v>
      </c>
      <c r="F37" s="517">
        <v>0.3</v>
      </c>
      <c r="G37" s="517">
        <v>0.3</v>
      </c>
      <c r="H37" s="517">
        <v>3</v>
      </c>
      <c r="I37" s="517">
        <v>0.15</v>
      </c>
      <c r="J37" s="517">
        <v>0.3</v>
      </c>
      <c r="K37" s="516">
        <f t="shared" si="12"/>
        <v>0.045</v>
      </c>
      <c r="L37" s="516">
        <f t="shared" si="13"/>
        <v>2.7</v>
      </c>
      <c r="M37" s="517">
        <v>2.09</v>
      </c>
      <c r="N37" s="516">
        <f t="shared" si="5"/>
        <v>1.5883999999999998</v>
      </c>
      <c r="O37" s="506">
        <f t="shared" si="6"/>
        <v>0.76</v>
      </c>
      <c r="P37" s="506">
        <f t="shared" si="9"/>
        <v>0.038000000000000006</v>
      </c>
      <c r="Q37" s="506">
        <f t="shared" si="10"/>
        <v>1.2008999999999999</v>
      </c>
      <c r="R37" s="506">
        <f t="shared" si="11"/>
        <v>0.38749999999999996</v>
      </c>
      <c r="S37" s="488"/>
      <c r="T37" s="701"/>
      <c r="U37" s="701"/>
    </row>
    <row r="38" spans="2:21" ht="15.75">
      <c r="B38" s="515" t="s">
        <v>164</v>
      </c>
      <c r="C38" s="516">
        <v>0.8</v>
      </c>
      <c r="D38" s="516">
        <v>0.95</v>
      </c>
      <c r="E38" s="516">
        <f t="shared" si="8"/>
        <v>0.76</v>
      </c>
      <c r="F38" s="517">
        <v>0.3</v>
      </c>
      <c r="G38" s="517">
        <v>0.3</v>
      </c>
      <c r="H38" s="517">
        <v>3</v>
      </c>
      <c r="I38" s="517">
        <v>0.15</v>
      </c>
      <c r="J38" s="517">
        <v>0.3</v>
      </c>
      <c r="K38" s="516">
        <f t="shared" si="12"/>
        <v>0.045</v>
      </c>
      <c r="L38" s="516">
        <f t="shared" si="13"/>
        <v>2.7</v>
      </c>
      <c r="M38" s="517">
        <v>1.91</v>
      </c>
      <c r="N38" s="516">
        <f t="shared" si="5"/>
        <v>1.4516</v>
      </c>
      <c r="O38" s="506">
        <f t="shared" si="6"/>
        <v>0.76</v>
      </c>
      <c r="P38" s="506">
        <f t="shared" si="9"/>
        <v>0.038000000000000006</v>
      </c>
      <c r="Q38" s="506">
        <f t="shared" si="10"/>
        <v>1.0641</v>
      </c>
      <c r="R38" s="506">
        <f t="shared" si="11"/>
        <v>0.38749999999999996</v>
      </c>
      <c r="S38" s="488"/>
      <c r="T38" s="701"/>
      <c r="U38" s="701"/>
    </row>
    <row r="39" spans="2:21" ht="15.75">
      <c r="B39" s="515" t="s">
        <v>165</v>
      </c>
      <c r="C39" s="516">
        <v>0.85</v>
      </c>
      <c r="D39" s="516">
        <v>1.15</v>
      </c>
      <c r="E39" s="516">
        <f t="shared" si="8"/>
        <v>0.9774999999999999</v>
      </c>
      <c r="F39" s="517">
        <v>0.3</v>
      </c>
      <c r="G39" s="517">
        <v>0.3</v>
      </c>
      <c r="H39" s="517">
        <v>3</v>
      </c>
      <c r="I39" s="517">
        <v>0.2</v>
      </c>
      <c r="J39" s="517">
        <v>0.5</v>
      </c>
      <c r="K39" s="516">
        <f t="shared" si="12"/>
        <v>0.1</v>
      </c>
      <c r="L39" s="516">
        <f t="shared" si="13"/>
        <v>2.7</v>
      </c>
      <c r="M39" s="517">
        <v>1.6</v>
      </c>
      <c r="N39" s="516">
        <f t="shared" si="5"/>
        <v>1.564</v>
      </c>
      <c r="O39" s="506">
        <f t="shared" si="6"/>
        <v>0.9774999999999999</v>
      </c>
      <c r="P39" s="506">
        <f t="shared" si="9"/>
        <v>0.048875</v>
      </c>
      <c r="Q39" s="506">
        <f t="shared" si="10"/>
        <v>0.951875</v>
      </c>
      <c r="R39" s="506">
        <f t="shared" si="11"/>
        <v>0.612125</v>
      </c>
      <c r="S39" s="488"/>
      <c r="T39" s="701"/>
      <c r="U39" s="701"/>
    </row>
    <row r="40" spans="2:21" ht="15.75">
      <c r="B40" s="515" t="s">
        <v>166</v>
      </c>
      <c r="C40" s="516">
        <v>0.8</v>
      </c>
      <c r="D40" s="516">
        <v>0.95</v>
      </c>
      <c r="E40" s="516">
        <f t="shared" si="8"/>
        <v>0.76</v>
      </c>
      <c r="F40" s="517">
        <v>0.3</v>
      </c>
      <c r="G40" s="517">
        <v>0.3</v>
      </c>
      <c r="H40" s="517">
        <v>3</v>
      </c>
      <c r="I40" s="517">
        <v>0.15</v>
      </c>
      <c r="J40" s="517">
        <v>0.3</v>
      </c>
      <c r="K40" s="516">
        <f t="shared" si="12"/>
        <v>0.045</v>
      </c>
      <c r="L40" s="516">
        <f t="shared" si="13"/>
        <v>2.7</v>
      </c>
      <c r="M40" s="517">
        <v>1.91</v>
      </c>
      <c r="N40" s="516">
        <f t="shared" si="5"/>
        <v>1.4516</v>
      </c>
      <c r="O40" s="506">
        <f t="shared" si="6"/>
        <v>0.76</v>
      </c>
      <c r="P40" s="506">
        <f t="shared" si="9"/>
        <v>0.038000000000000006</v>
      </c>
      <c r="Q40" s="506">
        <f t="shared" si="10"/>
        <v>1.0641</v>
      </c>
      <c r="R40" s="506">
        <f t="shared" si="11"/>
        <v>0.38749999999999996</v>
      </c>
      <c r="S40" s="488"/>
      <c r="T40" s="701"/>
      <c r="U40" s="701"/>
    </row>
    <row r="41" spans="2:21" ht="15.75">
      <c r="B41" s="515" t="s">
        <v>167</v>
      </c>
      <c r="C41" s="516">
        <v>0.8</v>
      </c>
      <c r="D41" s="516">
        <v>0.95</v>
      </c>
      <c r="E41" s="516">
        <f t="shared" si="8"/>
        <v>0.76</v>
      </c>
      <c r="F41" s="517">
        <v>0.3</v>
      </c>
      <c r="G41" s="517">
        <v>0.3</v>
      </c>
      <c r="H41" s="517">
        <v>3</v>
      </c>
      <c r="I41" s="517">
        <v>0.15</v>
      </c>
      <c r="J41" s="517">
        <v>0.3</v>
      </c>
      <c r="K41" s="516">
        <f t="shared" si="12"/>
        <v>0.045</v>
      </c>
      <c r="L41" s="516">
        <f t="shared" si="13"/>
        <v>2.7</v>
      </c>
      <c r="M41" s="517">
        <v>1.76</v>
      </c>
      <c r="N41" s="516">
        <f t="shared" si="5"/>
        <v>1.3376000000000001</v>
      </c>
      <c r="O41" s="506">
        <f t="shared" si="6"/>
        <v>0.76</v>
      </c>
      <c r="P41" s="506">
        <f t="shared" si="9"/>
        <v>0.038000000000000006</v>
      </c>
      <c r="Q41" s="506">
        <f t="shared" si="10"/>
        <v>0.9501000000000002</v>
      </c>
      <c r="R41" s="506">
        <f t="shared" si="11"/>
        <v>0.38749999999999996</v>
      </c>
      <c r="S41" s="488"/>
      <c r="T41" s="701"/>
      <c r="U41" s="701"/>
    </row>
    <row r="42" spans="2:21" ht="15.75">
      <c r="B42" s="515" t="s">
        <v>168</v>
      </c>
      <c r="C42" s="516">
        <v>0.8</v>
      </c>
      <c r="D42" s="516">
        <v>0.95</v>
      </c>
      <c r="E42" s="516">
        <f t="shared" si="8"/>
        <v>0.76</v>
      </c>
      <c r="F42" s="517">
        <v>0.3</v>
      </c>
      <c r="G42" s="517">
        <v>0.3</v>
      </c>
      <c r="H42" s="517">
        <v>3</v>
      </c>
      <c r="I42" s="517">
        <v>0.15</v>
      </c>
      <c r="J42" s="517">
        <v>0.3</v>
      </c>
      <c r="K42" s="516">
        <f t="shared" si="12"/>
        <v>0.045</v>
      </c>
      <c r="L42" s="516">
        <f t="shared" si="13"/>
        <v>2.7</v>
      </c>
      <c r="M42" s="517">
        <v>1.6</v>
      </c>
      <c r="N42" s="516">
        <f t="shared" si="5"/>
        <v>1.2160000000000002</v>
      </c>
      <c r="O42" s="506">
        <f t="shared" si="6"/>
        <v>0.76</v>
      </c>
      <c r="P42" s="506">
        <f t="shared" si="9"/>
        <v>0.038000000000000006</v>
      </c>
      <c r="Q42" s="506">
        <f t="shared" si="10"/>
        <v>0.8285000000000002</v>
      </c>
      <c r="R42" s="506">
        <f t="shared" si="11"/>
        <v>0.38749999999999996</v>
      </c>
      <c r="S42" s="488"/>
      <c r="T42" s="701"/>
      <c r="U42" s="701"/>
    </row>
    <row r="43" spans="2:21" ht="15.75">
      <c r="B43" s="515" t="s">
        <v>169</v>
      </c>
      <c r="C43" s="516">
        <v>0.85</v>
      </c>
      <c r="D43" s="516">
        <v>1</v>
      </c>
      <c r="E43" s="516">
        <f aca="true" t="shared" si="14" ref="E43:E51">C43*D43</f>
        <v>0.85</v>
      </c>
      <c r="F43" s="517">
        <v>0.3</v>
      </c>
      <c r="G43" s="517">
        <v>0.3</v>
      </c>
      <c r="H43" s="517">
        <v>3</v>
      </c>
      <c r="I43" s="517">
        <v>0.15</v>
      </c>
      <c r="J43" s="517">
        <v>0.3</v>
      </c>
      <c r="K43" s="516">
        <f>I43*J43</f>
        <v>0.045</v>
      </c>
      <c r="L43" s="516">
        <f>H43-G43</f>
        <v>2.7</v>
      </c>
      <c r="M43" s="517">
        <v>2.99</v>
      </c>
      <c r="N43" s="516">
        <f t="shared" si="5"/>
        <v>2.5415</v>
      </c>
      <c r="O43" s="506">
        <f t="shared" si="6"/>
        <v>0.85</v>
      </c>
      <c r="P43" s="506">
        <f t="shared" si="9"/>
        <v>0.0425</v>
      </c>
      <c r="Q43" s="506">
        <f t="shared" si="10"/>
        <v>2.1225</v>
      </c>
      <c r="R43" s="506">
        <f t="shared" si="11"/>
        <v>0.419</v>
      </c>
      <c r="S43" s="488"/>
      <c r="T43" s="701"/>
      <c r="U43" s="701"/>
    </row>
    <row r="44" spans="2:21" ht="15.75">
      <c r="B44" s="515" t="s">
        <v>193</v>
      </c>
      <c r="C44" s="516">
        <v>0.95</v>
      </c>
      <c r="D44" s="516">
        <v>1.1</v>
      </c>
      <c r="E44" s="516">
        <f t="shared" si="14"/>
        <v>1.045</v>
      </c>
      <c r="F44" s="517">
        <v>0.3</v>
      </c>
      <c r="G44" s="517">
        <v>0.3</v>
      </c>
      <c r="H44" s="517">
        <v>3</v>
      </c>
      <c r="I44" s="517">
        <v>0.15</v>
      </c>
      <c r="J44" s="517">
        <v>0.3</v>
      </c>
      <c r="K44" s="516">
        <f aca="true" t="shared" si="15" ref="K44:K51">I44*J44</f>
        <v>0.045</v>
      </c>
      <c r="L44" s="516">
        <f aca="true" t="shared" si="16" ref="L44:L51">H44-G44</f>
        <v>2.7</v>
      </c>
      <c r="M44" s="517">
        <v>2.67</v>
      </c>
      <c r="N44" s="516">
        <f t="shared" si="5"/>
        <v>2.7901499999999997</v>
      </c>
      <c r="O44" s="506">
        <f t="shared" si="6"/>
        <v>1.045</v>
      </c>
      <c r="P44" s="506">
        <f t="shared" si="9"/>
        <v>0.05225</v>
      </c>
      <c r="Q44" s="506">
        <f t="shared" si="10"/>
        <v>2.3028999999999997</v>
      </c>
      <c r="R44" s="506">
        <f t="shared" si="11"/>
        <v>0.48724999999999996</v>
      </c>
      <c r="S44" s="488"/>
      <c r="T44" s="701"/>
      <c r="U44" s="701"/>
    </row>
    <row r="45" spans="2:22" ht="15.75">
      <c r="B45" s="515" t="s">
        <v>194</v>
      </c>
      <c r="C45" s="516">
        <v>0.85</v>
      </c>
      <c r="D45" s="516">
        <v>0.95</v>
      </c>
      <c r="E45" s="516">
        <f t="shared" si="14"/>
        <v>0.8075</v>
      </c>
      <c r="F45" s="517">
        <v>0.3</v>
      </c>
      <c r="G45" s="517">
        <v>0.3</v>
      </c>
      <c r="H45" s="517">
        <v>3</v>
      </c>
      <c r="I45" s="517">
        <v>0.15</v>
      </c>
      <c r="J45" s="517">
        <v>0.3</v>
      </c>
      <c r="K45" s="516">
        <f t="shared" si="15"/>
        <v>0.045</v>
      </c>
      <c r="L45" s="516">
        <f t="shared" si="16"/>
        <v>2.7</v>
      </c>
      <c r="M45" s="517">
        <v>2.55</v>
      </c>
      <c r="N45" s="516">
        <f t="shared" si="5"/>
        <v>2.059125</v>
      </c>
      <c r="O45" s="506">
        <f t="shared" si="6"/>
        <v>0.8075</v>
      </c>
      <c r="P45" s="506">
        <f t="shared" si="9"/>
        <v>0.040375</v>
      </c>
      <c r="Q45" s="506">
        <f t="shared" si="10"/>
        <v>1.6549999999999998</v>
      </c>
      <c r="R45" s="506">
        <f t="shared" si="11"/>
        <v>0.404125</v>
      </c>
      <c r="S45" s="488"/>
      <c r="T45" s="701"/>
      <c r="U45" s="701"/>
      <c r="V45" s="443"/>
    </row>
    <row r="46" spans="2:23" ht="15.75">
      <c r="B46" s="515" t="s">
        <v>195</v>
      </c>
      <c r="C46" s="516">
        <v>0.8</v>
      </c>
      <c r="D46" s="516">
        <v>0.95</v>
      </c>
      <c r="E46" s="516">
        <f t="shared" si="14"/>
        <v>0.76</v>
      </c>
      <c r="F46" s="517">
        <v>0.3</v>
      </c>
      <c r="G46" s="517">
        <v>0.3</v>
      </c>
      <c r="H46" s="517">
        <v>3</v>
      </c>
      <c r="I46" s="517">
        <v>0.15</v>
      </c>
      <c r="J46" s="517">
        <v>0.3</v>
      </c>
      <c r="K46" s="516">
        <f t="shared" si="15"/>
        <v>0.045</v>
      </c>
      <c r="L46" s="516">
        <f t="shared" si="16"/>
        <v>2.7</v>
      </c>
      <c r="M46" s="517">
        <v>2.4</v>
      </c>
      <c r="N46" s="516">
        <f t="shared" si="5"/>
        <v>1.8239999999999998</v>
      </c>
      <c r="O46" s="506">
        <f t="shared" si="6"/>
        <v>0.76</v>
      </c>
      <c r="P46" s="506">
        <f t="shared" si="9"/>
        <v>0.038000000000000006</v>
      </c>
      <c r="Q46" s="506">
        <f t="shared" si="10"/>
        <v>1.4364999999999999</v>
      </c>
      <c r="R46" s="506">
        <f t="shared" si="11"/>
        <v>0.38749999999999996</v>
      </c>
      <c r="S46" s="488"/>
      <c r="T46" s="701"/>
      <c r="U46" s="701"/>
      <c r="V46" s="443"/>
      <c r="W46" s="443"/>
    </row>
    <row r="47" spans="2:22" ht="15.75">
      <c r="B47" s="515" t="s">
        <v>196</v>
      </c>
      <c r="C47" s="516">
        <v>0.8</v>
      </c>
      <c r="D47" s="516">
        <v>0.95</v>
      </c>
      <c r="E47" s="516">
        <f t="shared" si="14"/>
        <v>0.76</v>
      </c>
      <c r="F47" s="517">
        <v>0.3</v>
      </c>
      <c r="G47" s="517">
        <v>0.3</v>
      </c>
      <c r="H47" s="517">
        <v>3</v>
      </c>
      <c r="I47" s="517">
        <v>0.15</v>
      </c>
      <c r="J47" s="517">
        <v>0.3</v>
      </c>
      <c r="K47" s="516">
        <f t="shared" si="15"/>
        <v>0.045</v>
      </c>
      <c r="L47" s="516">
        <f t="shared" si="16"/>
        <v>2.7</v>
      </c>
      <c r="M47" s="517">
        <v>2.29</v>
      </c>
      <c r="N47" s="516">
        <f t="shared" si="5"/>
        <v>1.7404</v>
      </c>
      <c r="O47" s="506">
        <f t="shared" si="6"/>
        <v>0.76</v>
      </c>
      <c r="P47" s="506">
        <f t="shared" si="9"/>
        <v>0.038000000000000006</v>
      </c>
      <c r="Q47" s="506">
        <f t="shared" si="10"/>
        <v>1.3529</v>
      </c>
      <c r="R47" s="506">
        <f t="shared" si="11"/>
        <v>0.38749999999999996</v>
      </c>
      <c r="S47" s="488"/>
      <c r="T47" s="701"/>
      <c r="U47" s="701"/>
      <c r="V47" s="443"/>
    </row>
    <row r="48" spans="2:21" ht="15.75">
      <c r="B48" s="515" t="s">
        <v>197</v>
      </c>
      <c r="C48" s="516">
        <v>0.85</v>
      </c>
      <c r="D48" s="516">
        <v>1</v>
      </c>
      <c r="E48" s="516">
        <f t="shared" si="14"/>
        <v>0.85</v>
      </c>
      <c r="F48" s="517">
        <v>0.3</v>
      </c>
      <c r="G48" s="517">
        <v>0.3</v>
      </c>
      <c r="H48" s="517">
        <v>3</v>
      </c>
      <c r="I48" s="517">
        <v>0.15</v>
      </c>
      <c r="J48" s="517">
        <v>0.3</v>
      </c>
      <c r="K48" s="516">
        <f t="shared" si="15"/>
        <v>0.045</v>
      </c>
      <c r="L48" s="516">
        <f t="shared" si="16"/>
        <v>2.7</v>
      </c>
      <c r="M48" s="517">
        <v>2.09</v>
      </c>
      <c r="N48" s="516">
        <f t="shared" si="5"/>
        <v>1.7764999999999997</v>
      </c>
      <c r="O48" s="506">
        <f t="shared" si="6"/>
        <v>0.85</v>
      </c>
      <c r="P48" s="506">
        <f t="shared" si="9"/>
        <v>0.0425</v>
      </c>
      <c r="Q48" s="506">
        <f t="shared" si="10"/>
        <v>1.3574999999999997</v>
      </c>
      <c r="R48" s="506">
        <f t="shared" si="11"/>
        <v>0.419</v>
      </c>
      <c r="S48" s="488"/>
      <c r="T48" s="701"/>
      <c r="U48" s="701"/>
    </row>
    <row r="49" spans="2:21" ht="15.75">
      <c r="B49" s="515" t="s">
        <v>198</v>
      </c>
      <c r="C49" s="516">
        <v>0.8</v>
      </c>
      <c r="D49" s="516">
        <v>0.95</v>
      </c>
      <c r="E49" s="516">
        <f t="shared" si="14"/>
        <v>0.76</v>
      </c>
      <c r="F49" s="517">
        <v>0.3</v>
      </c>
      <c r="G49" s="517">
        <v>0.3</v>
      </c>
      <c r="H49" s="517">
        <v>3</v>
      </c>
      <c r="I49" s="517">
        <v>0.15</v>
      </c>
      <c r="J49" s="517">
        <v>0.3</v>
      </c>
      <c r="K49" s="516">
        <f t="shared" si="15"/>
        <v>0.045</v>
      </c>
      <c r="L49" s="516">
        <f t="shared" si="16"/>
        <v>2.7</v>
      </c>
      <c r="M49" s="517">
        <v>1.91</v>
      </c>
      <c r="N49" s="516">
        <f t="shared" si="5"/>
        <v>1.4516</v>
      </c>
      <c r="O49" s="506">
        <f t="shared" si="6"/>
        <v>0.76</v>
      </c>
      <c r="P49" s="506">
        <f t="shared" si="9"/>
        <v>0.038000000000000006</v>
      </c>
      <c r="Q49" s="506">
        <f t="shared" si="10"/>
        <v>1.0641</v>
      </c>
      <c r="R49" s="506">
        <f t="shared" si="11"/>
        <v>0.38749999999999996</v>
      </c>
      <c r="S49" s="488"/>
      <c r="T49" s="701"/>
      <c r="U49" s="701"/>
    </row>
    <row r="50" spans="2:21" ht="15.75">
      <c r="B50" s="515" t="s">
        <v>199</v>
      </c>
      <c r="C50" s="516">
        <v>0.8</v>
      </c>
      <c r="D50" s="516">
        <v>0.95</v>
      </c>
      <c r="E50" s="516">
        <f t="shared" si="14"/>
        <v>0.76</v>
      </c>
      <c r="F50" s="517">
        <v>0.3</v>
      </c>
      <c r="G50" s="517">
        <v>0.3</v>
      </c>
      <c r="H50" s="517">
        <v>3</v>
      </c>
      <c r="I50" s="517">
        <v>0.15</v>
      </c>
      <c r="J50" s="517">
        <v>0.3</v>
      </c>
      <c r="K50" s="516">
        <f t="shared" si="15"/>
        <v>0.045</v>
      </c>
      <c r="L50" s="516">
        <f t="shared" si="16"/>
        <v>2.7</v>
      </c>
      <c r="M50" s="517">
        <v>1.91</v>
      </c>
      <c r="N50" s="516">
        <f t="shared" si="5"/>
        <v>1.4516</v>
      </c>
      <c r="O50" s="506">
        <f t="shared" si="6"/>
        <v>0.76</v>
      </c>
      <c r="P50" s="506">
        <f t="shared" si="9"/>
        <v>0.038000000000000006</v>
      </c>
      <c r="Q50" s="506">
        <f t="shared" si="10"/>
        <v>1.0641</v>
      </c>
      <c r="R50" s="506">
        <f t="shared" si="11"/>
        <v>0.38749999999999996</v>
      </c>
      <c r="S50" s="488"/>
      <c r="T50" s="701"/>
      <c r="U50" s="701"/>
    </row>
    <row r="51" spans="2:21" ht="16.5" thickBot="1">
      <c r="B51" s="518" t="s">
        <v>200</v>
      </c>
      <c r="C51" s="519">
        <v>0.8</v>
      </c>
      <c r="D51" s="519">
        <v>0.95</v>
      </c>
      <c r="E51" s="519">
        <f t="shared" si="14"/>
        <v>0.76</v>
      </c>
      <c r="F51" s="520">
        <v>0.3</v>
      </c>
      <c r="G51" s="520">
        <v>0.3</v>
      </c>
      <c r="H51" s="517">
        <v>3</v>
      </c>
      <c r="I51" s="520">
        <v>0.15</v>
      </c>
      <c r="J51" s="520">
        <v>0.3</v>
      </c>
      <c r="K51" s="519">
        <f t="shared" si="15"/>
        <v>0.045</v>
      </c>
      <c r="L51" s="519">
        <f t="shared" si="16"/>
        <v>2.7</v>
      </c>
      <c r="M51" s="520">
        <v>1.6</v>
      </c>
      <c r="N51" s="516">
        <f t="shared" si="5"/>
        <v>1.2160000000000002</v>
      </c>
      <c r="O51" s="507">
        <f t="shared" si="6"/>
        <v>0.76</v>
      </c>
      <c r="P51" s="507">
        <f t="shared" si="9"/>
        <v>0.038000000000000006</v>
      </c>
      <c r="Q51" s="507">
        <f t="shared" si="10"/>
        <v>0.8285000000000002</v>
      </c>
      <c r="R51" s="507">
        <f t="shared" si="11"/>
        <v>0.38749999999999996</v>
      </c>
      <c r="S51" s="488"/>
      <c r="T51" s="701"/>
      <c r="U51" s="701"/>
    </row>
    <row r="52" spans="2:21" ht="16.5" thickBot="1">
      <c r="B52" s="690" t="s">
        <v>85</v>
      </c>
      <c r="C52" s="691"/>
      <c r="D52" s="691"/>
      <c r="E52" s="691"/>
      <c r="F52" s="691"/>
      <c r="G52" s="691"/>
      <c r="H52" s="691"/>
      <c r="I52" s="691"/>
      <c r="J52" s="691"/>
      <c r="K52" s="691"/>
      <c r="L52" s="692"/>
      <c r="M52" s="521"/>
      <c r="N52" s="126">
        <f>SUM(N12:N51)</f>
        <v>79.85052499999998</v>
      </c>
      <c r="O52" s="126">
        <f>SUM(O12:O51)</f>
        <v>35.09500000000001</v>
      </c>
      <c r="P52" s="126">
        <f>SUM(P12:P51)</f>
        <v>1.7547500000000005</v>
      </c>
      <c r="Q52" s="126">
        <f>SUM(Q12:Q51)</f>
        <v>62.55877500000002</v>
      </c>
      <c r="R52" s="126">
        <f>SUM(R12:R51)</f>
        <v>17.29174999999999</v>
      </c>
      <c r="S52" s="490"/>
      <c r="T52" s="708"/>
      <c r="U52" s="708"/>
    </row>
  </sheetData>
  <sheetProtection/>
  <mergeCells count="58">
    <mergeCell ref="M8:R8"/>
    <mergeCell ref="B3:R4"/>
    <mergeCell ref="T2:U2"/>
    <mergeCell ref="T3:U3"/>
    <mergeCell ref="T4:U4"/>
    <mergeCell ref="T5:U5"/>
    <mergeCell ref="T6:U6"/>
    <mergeCell ref="B7:R7"/>
    <mergeCell ref="T7:U7"/>
    <mergeCell ref="T8:U8"/>
    <mergeCell ref="B5:R6"/>
    <mergeCell ref="T52:U52"/>
    <mergeCell ref="T9:U9"/>
    <mergeCell ref="T46:U46"/>
    <mergeCell ref="T47:U47"/>
    <mergeCell ref="T48:U48"/>
    <mergeCell ref="T50:U50"/>
    <mergeCell ref="T51:U51"/>
    <mergeCell ref="T40:U40"/>
    <mergeCell ref="T41:U41"/>
    <mergeCell ref="T45:U45"/>
    <mergeCell ref="T35:U35"/>
    <mergeCell ref="T36:U36"/>
    <mergeCell ref="T37:U37"/>
    <mergeCell ref="T38:U38"/>
    <mergeCell ref="T39:U39"/>
    <mergeCell ref="T49:U49"/>
    <mergeCell ref="T29:U29"/>
    <mergeCell ref="T30:U30"/>
    <mergeCell ref="T31:U31"/>
    <mergeCell ref="T32:U32"/>
    <mergeCell ref="T33:U33"/>
    <mergeCell ref="T34:U34"/>
    <mergeCell ref="T42:U42"/>
    <mergeCell ref="T43:U43"/>
    <mergeCell ref="T44:U44"/>
    <mergeCell ref="T23:U23"/>
    <mergeCell ref="T24:U24"/>
    <mergeCell ref="T25:U25"/>
    <mergeCell ref="T26:U26"/>
    <mergeCell ref="T27:U27"/>
    <mergeCell ref="T28:U28"/>
    <mergeCell ref="T17:U17"/>
    <mergeCell ref="T18:U18"/>
    <mergeCell ref="T19:U19"/>
    <mergeCell ref="T20:U20"/>
    <mergeCell ref="T21:U21"/>
    <mergeCell ref="T22:U22"/>
    <mergeCell ref="B52:L52"/>
    <mergeCell ref="B8:L8"/>
    <mergeCell ref="B9:H9"/>
    <mergeCell ref="T10:U10"/>
    <mergeCell ref="T11:U11"/>
    <mergeCell ref="T12:U12"/>
    <mergeCell ref="T13:U13"/>
    <mergeCell ref="T14:U14"/>
    <mergeCell ref="T15:U15"/>
    <mergeCell ref="T16:U1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8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T86"/>
  <sheetViews>
    <sheetView view="pageBreakPreview" zoomScale="85" zoomScaleNormal="130" zoomScaleSheetLayoutView="85" zoomScalePageLayoutView="0" workbookViewId="0" topLeftCell="A6">
      <pane ySplit="2" topLeftCell="A20" activePane="bottomLeft" state="frozen"/>
      <selection pane="topLeft" activeCell="A6" sqref="A6"/>
      <selection pane="bottomLeft" activeCell="B74" sqref="B74:F74"/>
    </sheetView>
  </sheetViews>
  <sheetFormatPr defaultColWidth="9.140625" defaultRowHeight="12.75"/>
  <cols>
    <col min="1" max="1" width="9.140625" style="133" customWidth="1"/>
    <col min="2" max="2" width="12.57421875" style="133" bestFit="1" customWidth="1"/>
    <col min="3" max="3" width="8.421875" style="133" bestFit="1" customWidth="1"/>
    <col min="4" max="4" width="7.28125" style="133" bestFit="1" customWidth="1"/>
    <col min="5" max="5" width="12.7109375" style="133" customWidth="1"/>
    <col min="6" max="7" width="16.57421875" style="133" customWidth="1"/>
    <col min="8" max="8" width="9.8515625" style="133" customWidth="1"/>
    <col min="9" max="9" width="8.7109375" style="133" bestFit="1" customWidth="1"/>
    <col min="10" max="12" width="9.57421875" style="133" customWidth="1"/>
    <col min="13" max="13" width="9.00390625" style="133" bestFit="1" customWidth="1"/>
    <col min="14" max="14" width="10.7109375" style="133" customWidth="1"/>
    <col min="15" max="15" width="0" style="133" hidden="1" customWidth="1"/>
    <col min="16" max="16" width="9.140625" style="133" customWidth="1"/>
    <col min="17" max="17" width="11.140625" style="133" customWidth="1"/>
    <col min="18" max="18" width="9.140625" style="133" customWidth="1"/>
    <col min="19" max="19" width="12.00390625" style="133" customWidth="1"/>
    <col min="20" max="16384" width="9.140625" style="133" customWidth="1"/>
  </cols>
  <sheetData>
    <row r="1" spans="2:15" ht="18.75" customHeight="1" thickBot="1">
      <c r="B1" s="718" t="s">
        <v>130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20"/>
      <c r="O1" s="499"/>
    </row>
    <row r="2" spans="2:15" ht="15.75" customHeight="1">
      <c r="B2" s="739" t="s">
        <v>241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1"/>
      <c r="O2" s="497"/>
    </row>
    <row r="3" spans="2:15" ht="11.25" customHeight="1" thickBot="1">
      <c r="B3" s="742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4"/>
      <c r="O3" s="498"/>
    </row>
    <row r="4" spans="2:15" ht="16.5" thickBot="1">
      <c r="B4" s="724" t="s">
        <v>160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6"/>
      <c r="O4" s="496"/>
    </row>
    <row r="5" spans="2:17" ht="16.5" thickBot="1">
      <c r="B5" s="149" t="s">
        <v>159</v>
      </c>
      <c r="C5" s="721" t="s">
        <v>128</v>
      </c>
      <c r="D5" s="722"/>
      <c r="E5" s="723"/>
      <c r="F5" s="727" t="s">
        <v>127</v>
      </c>
      <c r="G5" s="728"/>
      <c r="H5" s="728"/>
      <c r="I5" s="728"/>
      <c r="J5" s="728"/>
      <c r="K5" s="728"/>
      <c r="L5" s="728"/>
      <c r="M5" s="728"/>
      <c r="N5" s="729"/>
      <c r="O5" s="495"/>
      <c r="P5" s="141"/>
      <c r="Q5" s="141"/>
    </row>
    <row r="6" spans="2:20" ht="15.75">
      <c r="B6" s="148" t="s">
        <v>158</v>
      </c>
      <c r="C6" s="147" t="s">
        <v>157</v>
      </c>
      <c r="D6" s="147" t="s">
        <v>156</v>
      </c>
      <c r="E6" s="147" t="s">
        <v>39</v>
      </c>
      <c r="F6" s="146" t="s">
        <v>320</v>
      </c>
      <c r="G6" s="146" t="s">
        <v>84</v>
      </c>
      <c r="H6" s="146" t="s">
        <v>83</v>
      </c>
      <c r="I6" s="146" t="s">
        <v>82</v>
      </c>
      <c r="J6" s="146" t="s">
        <v>77</v>
      </c>
      <c r="K6" s="147" t="s">
        <v>76</v>
      </c>
      <c r="O6" s="500" t="s">
        <v>78</v>
      </c>
      <c r="P6" s="141"/>
      <c r="Q6" s="141"/>
      <c r="T6" s="145"/>
    </row>
    <row r="7" spans="2:20" s="141" customFormat="1" ht="16.5" thickBot="1">
      <c r="B7" s="144"/>
      <c r="C7" s="143" t="s">
        <v>112</v>
      </c>
      <c r="D7" s="143" t="s">
        <v>112</v>
      </c>
      <c r="E7" s="143" t="s">
        <v>112</v>
      </c>
      <c r="F7" s="143" t="s">
        <v>112</v>
      </c>
      <c r="G7" s="143" t="s">
        <v>74</v>
      </c>
      <c r="H7" s="143" t="s">
        <v>75</v>
      </c>
      <c r="I7" s="143" t="s">
        <v>74</v>
      </c>
      <c r="J7" s="143" t="s">
        <v>72</v>
      </c>
      <c r="K7" s="143" t="s">
        <v>71</v>
      </c>
      <c r="L7" s="133"/>
      <c r="M7" s="133"/>
      <c r="O7" s="501" t="s">
        <v>73</v>
      </c>
      <c r="R7" s="133"/>
      <c r="T7" s="142"/>
    </row>
    <row r="8" spans="2:20" ht="15.75">
      <c r="B8" s="479" t="s">
        <v>155</v>
      </c>
      <c r="C8" s="508">
        <v>0.15</v>
      </c>
      <c r="D8" s="508">
        <v>0.3</v>
      </c>
      <c r="E8" s="509">
        <v>10.32</v>
      </c>
      <c r="F8" s="508">
        <v>0.3</v>
      </c>
      <c r="G8" s="508">
        <f aca="true" t="shared" si="0" ref="G8:G40">(C8)*(F8)*E8</f>
        <v>0.4644</v>
      </c>
      <c r="H8" s="508">
        <f aca="true" t="shared" si="1" ref="H8:H40">(C8)*E8</f>
        <v>1.548</v>
      </c>
      <c r="I8" s="508">
        <f aca="true" t="shared" si="2" ref="I8:I40">C8*0.05*E8</f>
        <v>0.0774</v>
      </c>
      <c r="J8" s="508">
        <f aca="true" t="shared" si="3" ref="J8:J40">(C8+(D8*2))*E8</f>
        <v>7.74</v>
      </c>
      <c r="K8" s="504">
        <f aca="true" t="shared" si="4" ref="K8:K40">E8*0.2*0.3</f>
        <v>0.6192</v>
      </c>
      <c r="O8" s="502"/>
      <c r="S8" s="140"/>
      <c r="T8" s="140"/>
    </row>
    <row r="9" spans="2:15" ht="15.75">
      <c r="B9" s="152" t="s">
        <v>154</v>
      </c>
      <c r="C9" s="510">
        <v>0.15</v>
      </c>
      <c r="D9" s="510">
        <v>0.3</v>
      </c>
      <c r="E9" s="511">
        <v>10.09</v>
      </c>
      <c r="F9" s="510">
        <v>0.3</v>
      </c>
      <c r="G9" s="508">
        <f t="shared" si="0"/>
        <v>0.45404999999999995</v>
      </c>
      <c r="H9" s="510">
        <f t="shared" si="1"/>
        <v>1.5134999999999998</v>
      </c>
      <c r="I9" s="510">
        <f t="shared" si="2"/>
        <v>0.07567499999999999</v>
      </c>
      <c r="J9" s="510">
        <f t="shared" si="3"/>
        <v>7.5675</v>
      </c>
      <c r="K9" s="341">
        <f t="shared" si="4"/>
        <v>0.6054</v>
      </c>
      <c r="O9" s="503"/>
    </row>
    <row r="10" spans="2:19" ht="15.75">
      <c r="B10" s="152" t="s">
        <v>153</v>
      </c>
      <c r="C10" s="510">
        <v>0.15</v>
      </c>
      <c r="D10" s="510">
        <v>0.3</v>
      </c>
      <c r="E10" s="511">
        <v>5</v>
      </c>
      <c r="F10" s="510">
        <v>0.3</v>
      </c>
      <c r="G10" s="508">
        <f t="shared" si="0"/>
        <v>0.22499999999999998</v>
      </c>
      <c r="H10" s="510">
        <f t="shared" si="1"/>
        <v>0.75</v>
      </c>
      <c r="I10" s="510">
        <f t="shared" si="2"/>
        <v>0.0375</v>
      </c>
      <c r="J10" s="510">
        <f t="shared" si="3"/>
        <v>3.75</v>
      </c>
      <c r="K10" s="341">
        <f t="shared" si="4"/>
        <v>0.3</v>
      </c>
      <c r="O10" s="503"/>
      <c r="S10" s="135"/>
    </row>
    <row r="11" spans="2:19" ht="15.75">
      <c r="B11" s="152" t="s">
        <v>152</v>
      </c>
      <c r="C11" s="510">
        <v>0.15</v>
      </c>
      <c r="D11" s="510">
        <v>0.3</v>
      </c>
      <c r="E11" s="511">
        <v>2.03</v>
      </c>
      <c r="F11" s="510">
        <v>0.3</v>
      </c>
      <c r="G11" s="508">
        <f t="shared" si="0"/>
        <v>0.09134999999999999</v>
      </c>
      <c r="H11" s="510">
        <f t="shared" si="1"/>
        <v>0.30449999999999994</v>
      </c>
      <c r="I11" s="510">
        <f t="shared" si="2"/>
        <v>0.015224999999999997</v>
      </c>
      <c r="J11" s="510">
        <f t="shared" si="3"/>
        <v>1.5225</v>
      </c>
      <c r="K11" s="341">
        <f t="shared" si="4"/>
        <v>0.12179999999999999</v>
      </c>
      <c r="O11" s="503"/>
      <c r="S11" s="139"/>
    </row>
    <row r="12" spans="2:15" ht="15.75">
      <c r="B12" s="152" t="s">
        <v>151</v>
      </c>
      <c r="C12" s="510">
        <v>0.15</v>
      </c>
      <c r="D12" s="510">
        <v>0.3</v>
      </c>
      <c r="E12" s="511">
        <v>4.29</v>
      </c>
      <c r="F12" s="510">
        <v>0.3</v>
      </c>
      <c r="G12" s="508">
        <f t="shared" si="0"/>
        <v>0.19305</v>
      </c>
      <c r="H12" s="510">
        <f t="shared" si="1"/>
        <v>0.6435</v>
      </c>
      <c r="I12" s="510">
        <f t="shared" si="2"/>
        <v>0.032175</v>
      </c>
      <c r="J12" s="510">
        <f t="shared" si="3"/>
        <v>3.2175000000000002</v>
      </c>
      <c r="K12" s="341">
        <f t="shared" si="4"/>
        <v>0.2574</v>
      </c>
      <c r="O12" s="503"/>
    </row>
    <row r="13" spans="2:15" ht="15.75">
      <c r="B13" s="152" t="s">
        <v>150</v>
      </c>
      <c r="C13" s="510">
        <v>0.15</v>
      </c>
      <c r="D13" s="510">
        <v>0.3</v>
      </c>
      <c r="E13" s="511">
        <v>7.06</v>
      </c>
      <c r="F13" s="510">
        <v>0.3</v>
      </c>
      <c r="G13" s="508">
        <f t="shared" si="0"/>
        <v>0.3177</v>
      </c>
      <c r="H13" s="510">
        <f t="shared" si="1"/>
        <v>1.059</v>
      </c>
      <c r="I13" s="510">
        <f t="shared" si="2"/>
        <v>0.05295</v>
      </c>
      <c r="J13" s="510">
        <f t="shared" si="3"/>
        <v>5.295</v>
      </c>
      <c r="K13" s="341">
        <f t="shared" si="4"/>
        <v>0.4236</v>
      </c>
      <c r="O13" s="503"/>
    </row>
    <row r="14" spans="2:15" ht="15.75">
      <c r="B14" s="152" t="s">
        <v>149</v>
      </c>
      <c r="C14" s="510">
        <v>0.15</v>
      </c>
      <c r="D14" s="510">
        <v>0.3</v>
      </c>
      <c r="E14" s="511">
        <v>9.61</v>
      </c>
      <c r="F14" s="510">
        <v>0.3</v>
      </c>
      <c r="G14" s="508">
        <f t="shared" si="0"/>
        <v>0.43244999999999995</v>
      </c>
      <c r="H14" s="510">
        <f t="shared" si="1"/>
        <v>1.4414999999999998</v>
      </c>
      <c r="I14" s="510">
        <f t="shared" si="2"/>
        <v>0.07207499999999999</v>
      </c>
      <c r="J14" s="510">
        <f t="shared" si="3"/>
        <v>7.2075</v>
      </c>
      <c r="K14" s="341">
        <f t="shared" si="4"/>
        <v>0.5766</v>
      </c>
      <c r="O14" s="503"/>
    </row>
    <row r="15" spans="2:15" ht="15.75">
      <c r="B15" s="152" t="s">
        <v>148</v>
      </c>
      <c r="C15" s="510">
        <v>0.15</v>
      </c>
      <c r="D15" s="510">
        <v>0.3</v>
      </c>
      <c r="E15" s="511">
        <v>9.51</v>
      </c>
      <c r="F15" s="510">
        <v>0.3</v>
      </c>
      <c r="G15" s="508">
        <f t="shared" si="0"/>
        <v>0.42795</v>
      </c>
      <c r="H15" s="510">
        <f t="shared" si="1"/>
        <v>1.4264999999999999</v>
      </c>
      <c r="I15" s="510">
        <f t="shared" si="2"/>
        <v>0.071325</v>
      </c>
      <c r="J15" s="510">
        <f t="shared" si="3"/>
        <v>7.1325</v>
      </c>
      <c r="K15" s="341">
        <f t="shared" si="4"/>
        <v>0.5706</v>
      </c>
      <c r="O15" s="503"/>
    </row>
    <row r="16" spans="2:15" ht="15.75">
      <c r="B16" s="152" t="s">
        <v>147</v>
      </c>
      <c r="C16" s="510">
        <v>0.15</v>
      </c>
      <c r="D16" s="510">
        <v>0.3</v>
      </c>
      <c r="E16" s="511">
        <v>5.81</v>
      </c>
      <c r="F16" s="510">
        <v>0.3</v>
      </c>
      <c r="G16" s="508">
        <f t="shared" si="0"/>
        <v>0.26144999999999996</v>
      </c>
      <c r="H16" s="510">
        <f t="shared" si="1"/>
        <v>0.8714999999999999</v>
      </c>
      <c r="I16" s="510">
        <f t="shared" si="2"/>
        <v>0.043574999999999996</v>
      </c>
      <c r="J16" s="510">
        <f t="shared" si="3"/>
        <v>4.3575</v>
      </c>
      <c r="K16" s="341">
        <f t="shared" si="4"/>
        <v>0.34859999999999997</v>
      </c>
      <c r="O16" s="503"/>
    </row>
    <row r="17" spans="2:15" ht="15.75">
      <c r="B17" s="152" t="s">
        <v>146</v>
      </c>
      <c r="C17" s="510">
        <v>0.15</v>
      </c>
      <c r="D17" s="510">
        <v>0.3</v>
      </c>
      <c r="E17" s="511">
        <v>2.26</v>
      </c>
      <c r="F17" s="510">
        <v>0.3</v>
      </c>
      <c r="G17" s="508">
        <f t="shared" si="0"/>
        <v>0.10169999999999998</v>
      </c>
      <c r="H17" s="510">
        <f t="shared" si="1"/>
        <v>0.33899999999999997</v>
      </c>
      <c r="I17" s="510">
        <f t="shared" si="2"/>
        <v>0.016949999999999996</v>
      </c>
      <c r="J17" s="510">
        <f t="shared" si="3"/>
        <v>1.6949999999999998</v>
      </c>
      <c r="K17" s="341">
        <f t="shared" si="4"/>
        <v>0.13559999999999997</v>
      </c>
      <c r="O17" s="503"/>
    </row>
    <row r="18" spans="2:15" ht="15.75">
      <c r="B18" s="152" t="s">
        <v>145</v>
      </c>
      <c r="C18" s="510">
        <v>0.15</v>
      </c>
      <c r="D18" s="510">
        <v>0.3</v>
      </c>
      <c r="E18" s="511">
        <v>1.76</v>
      </c>
      <c r="F18" s="510">
        <v>0.3</v>
      </c>
      <c r="G18" s="508">
        <f t="shared" si="0"/>
        <v>0.07919999999999999</v>
      </c>
      <c r="H18" s="510">
        <f t="shared" si="1"/>
        <v>0.264</v>
      </c>
      <c r="I18" s="510">
        <f t="shared" si="2"/>
        <v>0.0132</v>
      </c>
      <c r="J18" s="510">
        <f t="shared" si="3"/>
        <v>1.32</v>
      </c>
      <c r="K18" s="341">
        <f t="shared" si="4"/>
        <v>0.10560000000000001</v>
      </c>
      <c r="O18" s="503"/>
    </row>
    <row r="19" spans="2:15" ht="15.75">
      <c r="B19" s="152" t="s">
        <v>144</v>
      </c>
      <c r="C19" s="510">
        <v>0.15</v>
      </c>
      <c r="D19" s="510">
        <v>0.3</v>
      </c>
      <c r="E19" s="511">
        <v>4.81</v>
      </c>
      <c r="F19" s="510">
        <v>0.3</v>
      </c>
      <c r="G19" s="508">
        <f t="shared" si="0"/>
        <v>0.21644999999999998</v>
      </c>
      <c r="H19" s="510">
        <f t="shared" si="1"/>
        <v>0.7214999999999999</v>
      </c>
      <c r="I19" s="510">
        <f t="shared" si="2"/>
        <v>0.036074999999999996</v>
      </c>
      <c r="J19" s="510">
        <f t="shared" si="3"/>
        <v>3.6075</v>
      </c>
      <c r="K19" s="341">
        <f t="shared" si="4"/>
        <v>0.28859999999999997</v>
      </c>
      <c r="O19" s="503"/>
    </row>
    <row r="20" spans="2:15" ht="15.75">
      <c r="B20" s="152" t="s">
        <v>143</v>
      </c>
      <c r="C20" s="510">
        <v>0.15</v>
      </c>
      <c r="D20" s="510">
        <v>0.3</v>
      </c>
      <c r="E20" s="511">
        <v>7.69</v>
      </c>
      <c r="F20" s="510">
        <v>0.3</v>
      </c>
      <c r="G20" s="508">
        <f t="shared" si="0"/>
        <v>0.34605</v>
      </c>
      <c r="H20" s="510">
        <f t="shared" si="1"/>
        <v>1.1535</v>
      </c>
      <c r="I20" s="510">
        <f t="shared" si="2"/>
        <v>0.057675000000000004</v>
      </c>
      <c r="J20" s="510">
        <f t="shared" si="3"/>
        <v>5.7675</v>
      </c>
      <c r="K20" s="341">
        <f t="shared" si="4"/>
        <v>0.46140000000000003</v>
      </c>
      <c r="O20" s="503"/>
    </row>
    <row r="21" spans="2:15" ht="15.75">
      <c r="B21" s="152" t="s">
        <v>142</v>
      </c>
      <c r="C21" s="510">
        <v>0.15</v>
      </c>
      <c r="D21" s="510">
        <v>0.3</v>
      </c>
      <c r="E21" s="511">
        <v>7.44</v>
      </c>
      <c r="F21" s="510">
        <v>0.3</v>
      </c>
      <c r="G21" s="508">
        <f t="shared" si="0"/>
        <v>0.3348</v>
      </c>
      <c r="H21" s="510">
        <f t="shared" si="1"/>
        <v>1.116</v>
      </c>
      <c r="I21" s="510">
        <f t="shared" si="2"/>
        <v>0.0558</v>
      </c>
      <c r="J21" s="510">
        <f t="shared" si="3"/>
        <v>5.58</v>
      </c>
      <c r="K21" s="341">
        <f t="shared" si="4"/>
        <v>0.4464000000000001</v>
      </c>
      <c r="O21" s="503"/>
    </row>
    <row r="22" spans="2:15" ht="15.75">
      <c r="B22" s="152" t="s">
        <v>141</v>
      </c>
      <c r="C22" s="510">
        <v>0.15</v>
      </c>
      <c r="D22" s="510">
        <v>0.3</v>
      </c>
      <c r="E22" s="511">
        <v>4.47</v>
      </c>
      <c r="F22" s="510">
        <v>0.3</v>
      </c>
      <c r="G22" s="508">
        <f t="shared" si="0"/>
        <v>0.20114999999999997</v>
      </c>
      <c r="H22" s="510">
        <f t="shared" si="1"/>
        <v>0.6705</v>
      </c>
      <c r="I22" s="510">
        <f t="shared" si="2"/>
        <v>0.033525</v>
      </c>
      <c r="J22" s="510">
        <f t="shared" si="3"/>
        <v>3.3525</v>
      </c>
      <c r="K22" s="341">
        <f t="shared" si="4"/>
        <v>0.2682</v>
      </c>
      <c r="O22" s="503"/>
    </row>
    <row r="23" spans="2:15" ht="15.75">
      <c r="B23" s="152" t="s">
        <v>140</v>
      </c>
      <c r="C23" s="510">
        <v>0.15</v>
      </c>
      <c r="D23" s="510">
        <v>0.3</v>
      </c>
      <c r="E23" s="511">
        <v>4.52</v>
      </c>
      <c r="F23" s="510">
        <v>0.3</v>
      </c>
      <c r="G23" s="508">
        <f t="shared" si="0"/>
        <v>0.20339999999999997</v>
      </c>
      <c r="H23" s="510">
        <f t="shared" si="1"/>
        <v>0.6779999999999999</v>
      </c>
      <c r="I23" s="510">
        <f t="shared" si="2"/>
        <v>0.03389999999999999</v>
      </c>
      <c r="J23" s="510">
        <f t="shared" si="3"/>
        <v>3.3899999999999997</v>
      </c>
      <c r="K23" s="341">
        <f t="shared" si="4"/>
        <v>0.27119999999999994</v>
      </c>
      <c r="O23" s="503"/>
    </row>
    <row r="24" spans="2:15" ht="15.75">
      <c r="B24" s="152" t="s">
        <v>139</v>
      </c>
      <c r="C24" s="510">
        <v>0.15</v>
      </c>
      <c r="D24" s="510">
        <v>0.3</v>
      </c>
      <c r="E24" s="511">
        <v>4.4</v>
      </c>
      <c r="F24" s="510">
        <v>0.3</v>
      </c>
      <c r="G24" s="508">
        <f t="shared" si="0"/>
        <v>0.198</v>
      </c>
      <c r="H24" s="510">
        <f t="shared" si="1"/>
        <v>0.66</v>
      </c>
      <c r="I24" s="510">
        <f t="shared" si="2"/>
        <v>0.033</v>
      </c>
      <c r="J24" s="510">
        <f t="shared" si="3"/>
        <v>3.3000000000000003</v>
      </c>
      <c r="K24" s="341">
        <f t="shared" si="4"/>
        <v>0.264</v>
      </c>
      <c r="O24" s="503"/>
    </row>
    <row r="25" spans="2:15" ht="15.75">
      <c r="B25" s="152" t="s">
        <v>138</v>
      </c>
      <c r="C25" s="510">
        <v>0.15</v>
      </c>
      <c r="D25" s="510">
        <v>0.3</v>
      </c>
      <c r="E25" s="511">
        <v>2.4</v>
      </c>
      <c r="F25" s="510">
        <v>0.3</v>
      </c>
      <c r="G25" s="508">
        <f t="shared" si="0"/>
        <v>0.108</v>
      </c>
      <c r="H25" s="510">
        <f t="shared" si="1"/>
        <v>0.36</v>
      </c>
      <c r="I25" s="510">
        <f t="shared" si="2"/>
        <v>0.018</v>
      </c>
      <c r="J25" s="510">
        <f t="shared" si="3"/>
        <v>1.7999999999999998</v>
      </c>
      <c r="K25" s="341">
        <f t="shared" si="4"/>
        <v>0.144</v>
      </c>
      <c r="O25" s="503"/>
    </row>
    <row r="26" spans="2:15" ht="15.75">
      <c r="B26" s="152" t="s">
        <v>137</v>
      </c>
      <c r="C26" s="510">
        <v>0.15</v>
      </c>
      <c r="D26" s="510">
        <v>0.3</v>
      </c>
      <c r="E26" s="511">
        <v>2.26</v>
      </c>
      <c r="F26" s="510">
        <v>0.3</v>
      </c>
      <c r="G26" s="508">
        <f t="shared" si="0"/>
        <v>0.10169999999999998</v>
      </c>
      <c r="H26" s="510">
        <f t="shared" si="1"/>
        <v>0.33899999999999997</v>
      </c>
      <c r="I26" s="510">
        <f t="shared" si="2"/>
        <v>0.016949999999999996</v>
      </c>
      <c r="J26" s="510">
        <f t="shared" si="3"/>
        <v>1.6949999999999998</v>
      </c>
      <c r="K26" s="341">
        <f t="shared" si="4"/>
        <v>0.13559999999999997</v>
      </c>
      <c r="O26" s="503"/>
    </row>
    <row r="27" spans="2:15" ht="15.75">
      <c r="B27" s="152" t="s">
        <v>136</v>
      </c>
      <c r="C27" s="510">
        <v>0.15</v>
      </c>
      <c r="D27" s="510">
        <v>0.3</v>
      </c>
      <c r="E27" s="511">
        <v>4.56</v>
      </c>
      <c r="F27" s="510">
        <v>0.3</v>
      </c>
      <c r="G27" s="508">
        <f t="shared" si="0"/>
        <v>0.20519999999999997</v>
      </c>
      <c r="H27" s="510">
        <f t="shared" si="1"/>
        <v>0.6839999999999999</v>
      </c>
      <c r="I27" s="510">
        <f t="shared" si="2"/>
        <v>0.034199999999999994</v>
      </c>
      <c r="J27" s="510">
        <f t="shared" si="3"/>
        <v>3.42</v>
      </c>
      <c r="K27" s="341">
        <f t="shared" si="4"/>
        <v>0.27359999999999995</v>
      </c>
      <c r="O27" s="503"/>
    </row>
    <row r="28" spans="2:15" ht="15.75">
      <c r="B28" s="152" t="s">
        <v>135</v>
      </c>
      <c r="C28" s="510">
        <v>0.15</v>
      </c>
      <c r="D28" s="510">
        <v>0.3</v>
      </c>
      <c r="E28" s="511">
        <v>4.4</v>
      </c>
      <c r="F28" s="510">
        <v>0.3</v>
      </c>
      <c r="G28" s="508">
        <f t="shared" si="0"/>
        <v>0.198</v>
      </c>
      <c r="H28" s="510">
        <f t="shared" si="1"/>
        <v>0.66</v>
      </c>
      <c r="I28" s="510">
        <f t="shared" si="2"/>
        <v>0.033</v>
      </c>
      <c r="J28" s="510">
        <f t="shared" si="3"/>
        <v>3.3000000000000003</v>
      </c>
      <c r="K28" s="341">
        <f t="shared" si="4"/>
        <v>0.264</v>
      </c>
      <c r="O28" s="503"/>
    </row>
    <row r="29" spans="2:15" ht="15.75">
      <c r="B29" s="152" t="s">
        <v>134</v>
      </c>
      <c r="C29" s="510">
        <v>0.15</v>
      </c>
      <c r="D29" s="510">
        <v>0.3</v>
      </c>
      <c r="E29" s="511">
        <v>4.53</v>
      </c>
      <c r="F29" s="510">
        <v>0.3</v>
      </c>
      <c r="G29" s="508">
        <f t="shared" si="0"/>
        <v>0.20385</v>
      </c>
      <c r="H29" s="510">
        <f t="shared" si="1"/>
        <v>0.6795</v>
      </c>
      <c r="I29" s="510">
        <f t="shared" si="2"/>
        <v>0.033975</v>
      </c>
      <c r="J29" s="510">
        <f t="shared" si="3"/>
        <v>3.3975</v>
      </c>
      <c r="K29" s="341">
        <f t="shared" si="4"/>
        <v>0.27180000000000004</v>
      </c>
      <c r="O29" s="503"/>
    </row>
    <row r="30" spans="2:15" ht="15.75">
      <c r="B30" s="152" t="s">
        <v>133</v>
      </c>
      <c r="C30" s="510">
        <v>0.15</v>
      </c>
      <c r="D30" s="510">
        <v>0.3</v>
      </c>
      <c r="E30" s="511">
        <v>4.61</v>
      </c>
      <c r="F30" s="510">
        <v>0.3</v>
      </c>
      <c r="G30" s="508">
        <f t="shared" si="0"/>
        <v>0.20745</v>
      </c>
      <c r="H30" s="510">
        <f t="shared" si="1"/>
        <v>0.6915</v>
      </c>
      <c r="I30" s="510">
        <f t="shared" si="2"/>
        <v>0.034575</v>
      </c>
      <c r="J30" s="510">
        <f t="shared" si="3"/>
        <v>3.4575000000000005</v>
      </c>
      <c r="K30" s="341">
        <f t="shared" si="4"/>
        <v>0.2766</v>
      </c>
      <c r="O30" s="503"/>
    </row>
    <row r="31" spans="2:15" ht="15.75">
      <c r="B31" s="152" t="s">
        <v>132</v>
      </c>
      <c r="C31" s="510">
        <v>0.15</v>
      </c>
      <c r="D31" s="510">
        <v>0.3</v>
      </c>
      <c r="E31" s="511">
        <v>4.51</v>
      </c>
      <c r="F31" s="510">
        <v>0.3</v>
      </c>
      <c r="G31" s="508">
        <f t="shared" si="0"/>
        <v>0.20295</v>
      </c>
      <c r="H31" s="510">
        <f t="shared" si="1"/>
        <v>0.6765</v>
      </c>
      <c r="I31" s="510">
        <f t="shared" si="2"/>
        <v>0.033824999999999994</v>
      </c>
      <c r="J31" s="510">
        <f t="shared" si="3"/>
        <v>3.3825</v>
      </c>
      <c r="K31" s="341">
        <f t="shared" si="4"/>
        <v>0.2706</v>
      </c>
      <c r="O31" s="503"/>
    </row>
    <row r="32" spans="2:15" ht="15.75">
      <c r="B32" s="152" t="s">
        <v>131</v>
      </c>
      <c r="C32" s="510">
        <v>0.15</v>
      </c>
      <c r="D32" s="510">
        <v>0.3</v>
      </c>
      <c r="E32" s="511">
        <v>4.7</v>
      </c>
      <c r="F32" s="510">
        <v>0.3</v>
      </c>
      <c r="G32" s="508">
        <f t="shared" si="0"/>
        <v>0.2115</v>
      </c>
      <c r="H32" s="510">
        <f t="shared" si="1"/>
        <v>0.705</v>
      </c>
      <c r="I32" s="510">
        <f t="shared" si="2"/>
        <v>0.03525</v>
      </c>
      <c r="J32" s="510">
        <f t="shared" si="3"/>
        <v>3.5250000000000004</v>
      </c>
      <c r="K32" s="341">
        <f t="shared" si="4"/>
        <v>0.28200000000000003</v>
      </c>
      <c r="O32" s="503"/>
    </row>
    <row r="33" spans="2:15" ht="15.75">
      <c r="B33" s="152" t="s">
        <v>170</v>
      </c>
      <c r="C33" s="510">
        <v>0.15</v>
      </c>
      <c r="D33" s="510">
        <v>0.3</v>
      </c>
      <c r="E33" s="511">
        <v>4.5</v>
      </c>
      <c r="F33" s="510">
        <v>0.3</v>
      </c>
      <c r="G33" s="508">
        <f t="shared" si="0"/>
        <v>0.20249999999999999</v>
      </c>
      <c r="H33" s="510">
        <f t="shared" si="1"/>
        <v>0.6749999999999999</v>
      </c>
      <c r="I33" s="510">
        <f t="shared" si="2"/>
        <v>0.03375</v>
      </c>
      <c r="J33" s="510">
        <f t="shared" si="3"/>
        <v>3.375</v>
      </c>
      <c r="K33" s="341">
        <f t="shared" si="4"/>
        <v>0.27</v>
      </c>
      <c r="O33" s="503"/>
    </row>
    <row r="34" spans="2:15" ht="15.75">
      <c r="B34" s="152" t="s">
        <v>171</v>
      </c>
      <c r="C34" s="510">
        <v>0.15</v>
      </c>
      <c r="D34" s="510">
        <v>0.3</v>
      </c>
      <c r="E34" s="511">
        <v>4.53</v>
      </c>
      <c r="F34" s="510">
        <v>0.3</v>
      </c>
      <c r="G34" s="508">
        <f t="shared" si="0"/>
        <v>0.20385</v>
      </c>
      <c r="H34" s="510">
        <f t="shared" si="1"/>
        <v>0.6795</v>
      </c>
      <c r="I34" s="510">
        <f t="shared" si="2"/>
        <v>0.033975</v>
      </c>
      <c r="J34" s="510">
        <f t="shared" si="3"/>
        <v>3.3975</v>
      </c>
      <c r="K34" s="341">
        <f t="shared" si="4"/>
        <v>0.27180000000000004</v>
      </c>
      <c r="O34" s="503"/>
    </row>
    <row r="35" spans="2:15" ht="15.75">
      <c r="B35" s="152" t="s">
        <v>187</v>
      </c>
      <c r="C35" s="510">
        <v>0.15</v>
      </c>
      <c r="D35" s="510">
        <v>0.3</v>
      </c>
      <c r="E35" s="511">
        <v>4.4</v>
      </c>
      <c r="F35" s="510">
        <v>0.3</v>
      </c>
      <c r="G35" s="508">
        <f t="shared" si="0"/>
        <v>0.198</v>
      </c>
      <c r="H35" s="510">
        <f t="shared" si="1"/>
        <v>0.66</v>
      </c>
      <c r="I35" s="510">
        <f t="shared" si="2"/>
        <v>0.033</v>
      </c>
      <c r="J35" s="510">
        <f t="shared" si="3"/>
        <v>3.3000000000000003</v>
      </c>
      <c r="K35" s="341">
        <f t="shared" si="4"/>
        <v>0.264</v>
      </c>
      <c r="O35" s="503"/>
    </row>
    <row r="36" spans="2:15" ht="15.75">
      <c r="B36" s="152" t="s">
        <v>188</v>
      </c>
      <c r="C36" s="510">
        <v>0.15</v>
      </c>
      <c r="D36" s="510">
        <v>0.3</v>
      </c>
      <c r="E36" s="511">
        <v>4.53</v>
      </c>
      <c r="F36" s="510">
        <v>0.3</v>
      </c>
      <c r="G36" s="508">
        <f t="shared" si="0"/>
        <v>0.20385</v>
      </c>
      <c r="H36" s="510">
        <f t="shared" si="1"/>
        <v>0.6795</v>
      </c>
      <c r="I36" s="510">
        <f t="shared" si="2"/>
        <v>0.033975</v>
      </c>
      <c r="J36" s="510">
        <f t="shared" si="3"/>
        <v>3.3975</v>
      </c>
      <c r="K36" s="341">
        <f t="shared" si="4"/>
        <v>0.27180000000000004</v>
      </c>
      <c r="O36" s="503"/>
    </row>
    <row r="37" spans="2:15" ht="15.75">
      <c r="B37" s="152" t="s">
        <v>189</v>
      </c>
      <c r="C37" s="510">
        <v>0.15</v>
      </c>
      <c r="D37" s="510">
        <v>0.3</v>
      </c>
      <c r="E37" s="511">
        <v>5.99</v>
      </c>
      <c r="F37" s="510">
        <v>0.3</v>
      </c>
      <c r="G37" s="508">
        <f t="shared" si="0"/>
        <v>0.26955</v>
      </c>
      <c r="H37" s="510">
        <f t="shared" si="1"/>
        <v>0.8985</v>
      </c>
      <c r="I37" s="510">
        <f t="shared" si="2"/>
        <v>0.044925</v>
      </c>
      <c r="J37" s="510">
        <f t="shared" si="3"/>
        <v>4.4925</v>
      </c>
      <c r="K37" s="341">
        <f t="shared" si="4"/>
        <v>0.35940000000000005</v>
      </c>
      <c r="O37" s="503"/>
    </row>
    <row r="38" spans="2:15" ht="15.75">
      <c r="B38" s="152" t="s">
        <v>201</v>
      </c>
      <c r="C38" s="510">
        <v>0.15</v>
      </c>
      <c r="D38" s="510">
        <v>0.3</v>
      </c>
      <c r="E38" s="511">
        <v>4.32</v>
      </c>
      <c r="F38" s="510">
        <v>0.3</v>
      </c>
      <c r="G38" s="508">
        <f t="shared" si="0"/>
        <v>0.19440000000000002</v>
      </c>
      <c r="H38" s="510">
        <f t="shared" si="1"/>
        <v>0.648</v>
      </c>
      <c r="I38" s="510">
        <f t="shared" si="2"/>
        <v>0.0324</v>
      </c>
      <c r="J38" s="510">
        <f t="shared" si="3"/>
        <v>3.24</v>
      </c>
      <c r="K38" s="341">
        <f t="shared" si="4"/>
        <v>0.25920000000000004</v>
      </c>
      <c r="O38" s="503"/>
    </row>
    <row r="39" spans="2:15" ht="15.75">
      <c r="B39" s="152" t="s">
        <v>202</v>
      </c>
      <c r="C39" s="510">
        <v>0.15</v>
      </c>
      <c r="D39" s="510">
        <v>0.3</v>
      </c>
      <c r="E39" s="511">
        <v>8.46</v>
      </c>
      <c r="F39" s="510">
        <v>0.3</v>
      </c>
      <c r="G39" s="508">
        <f t="shared" si="0"/>
        <v>0.38070000000000004</v>
      </c>
      <c r="H39" s="510">
        <f t="shared" si="1"/>
        <v>1.2690000000000001</v>
      </c>
      <c r="I39" s="510">
        <f t="shared" si="2"/>
        <v>0.06345</v>
      </c>
      <c r="J39" s="510">
        <f t="shared" si="3"/>
        <v>6.345000000000001</v>
      </c>
      <c r="K39" s="341">
        <f t="shared" si="4"/>
        <v>0.5076</v>
      </c>
      <c r="O39" s="503"/>
    </row>
    <row r="40" spans="2:15" ht="16.5" thickBot="1">
      <c r="B40" s="152" t="s">
        <v>203</v>
      </c>
      <c r="C40" s="510">
        <v>0.15</v>
      </c>
      <c r="D40" s="510">
        <v>0.3</v>
      </c>
      <c r="E40" s="511">
        <v>4.49</v>
      </c>
      <c r="F40" s="510">
        <v>0.3</v>
      </c>
      <c r="G40" s="508">
        <f t="shared" si="0"/>
        <v>0.20205</v>
      </c>
      <c r="H40" s="510">
        <f t="shared" si="1"/>
        <v>0.6735</v>
      </c>
      <c r="I40" s="510">
        <f t="shared" si="2"/>
        <v>0.033675000000000004</v>
      </c>
      <c r="J40" s="510">
        <f t="shared" si="3"/>
        <v>3.3675</v>
      </c>
      <c r="K40" s="341">
        <f t="shared" si="4"/>
        <v>0.26940000000000003</v>
      </c>
      <c r="O40" s="503"/>
    </row>
    <row r="41" spans="2:15" ht="16.5" thickBot="1">
      <c r="B41" s="138" t="s">
        <v>85</v>
      </c>
      <c r="C41" s="137"/>
      <c r="D41" s="137"/>
      <c r="E41" s="136">
        <f>SUM(E8:E40)</f>
        <v>174.26000000000005</v>
      </c>
      <c r="F41" s="136"/>
      <c r="G41" s="126">
        <f>SUM(G8:G40)</f>
        <v>7.8417</v>
      </c>
      <c r="H41" s="126">
        <f>SUM(H8:H40)</f>
        <v>26.139</v>
      </c>
      <c r="I41" s="126">
        <f>SUM(I8:I40)</f>
        <v>1.3069500000000003</v>
      </c>
      <c r="J41" s="126">
        <f>SUM(J8:J40)</f>
        <v>130.69499999999996</v>
      </c>
      <c r="K41" s="126">
        <f>SUM(K8:K40)</f>
        <v>10.455600000000002</v>
      </c>
      <c r="O41" s="535"/>
    </row>
    <row r="42" ht="15">
      <c r="O42" s="535"/>
    </row>
    <row r="43" ht="15.75" thickBot="1">
      <c r="O43" s="535"/>
    </row>
    <row r="44" spans="2:15" ht="16.5" thickBot="1">
      <c r="B44" s="724" t="s">
        <v>321</v>
      </c>
      <c r="C44" s="725"/>
      <c r="D44" s="725"/>
      <c r="E44" s="725"/>
      <c r="F44" s="725"/>
      <c r="G44" s="725"/>
      <c r="H44" s="725"/>
      <c r="I44" s="725"/>
      <c r="J44" s="725"/>
      <c r="K44" s="725"/>
      <c r="L44" s="725"/>
      <c r="M44" s="725"/>
      <c r="N44" s="726"/>
      <c r="O44" s="535"/>
    </row>
    <row r="45" spans="2:15" ht="15.75" thickBot="1">
      <c r="B45" s="149" t="s">
        <v>159</v>
      </c>
      <c r="C45" s="721" t="s">
        <v>128</v>
      </c>
      <c r="D45" s="722"/>
      <c r="E45" s="723"/>
      <c r="F45" s="727" t="s">
        <v>127</v>
      </c>
      <c r="G45" s="728"/>
      <c r="H45" s="728"/>
      <c r="I45" s="728"/>
      <c r="J45" s="728"/>
      <c r="K45" s="728"/>
      <c r="L45" s="728"/>
      <c r="M45" s="728"/>
      <c r="N45" s="729"/>
      <c r="O45" s="535"/>
    </row>
    <row r="46" spans="2:15" ht="15">
      <c r="B46" s="148" t="s">
        <v>158</v>
      </c>
      <c r="C46" s="147" t="s">
        <v>157</v>
      </c>
      <c r="D46" s="147" t="s">
        <v>156</v>
      </c>
      <c r="E46" s="147" t="s">
        <v>39</v>
      </c>
      <c r="F46" s="146" t="s">
        <v>322</v>
      </c>
      <c r="G46" s="146" t="s">
        <v>323</v>
      </c>
      <c r="H46" s="146" t="s">
        <v>84</v>
      </c>
      <c r="I46" s="146" t="s">
        <v>83</v>
      </c>
      <c r="J46" s="146" t="s">
        <v>82</v>
      </c>
      <c r="K46" s="146" t="s">
        <v>81</v>
      </c>
      <c r="L46" s="146" t="s">
        <v>80</v>
      </c>
      <c r="M46" s="146" t="s">
        <v>77</v>
      </c>
      <c r="N46" s="146" t="s">
        <v>76</v>
      </c>
      <c r="O46" s="535"/>
    </row>
    <row r="47" spans="2:15" ht="16.5" thickBot="1">
      <c r="B47" s="144"/>
      <c r="C47" s="143" t="s">
        <v>112</v>
      </c>
      <c r="D47" s="143" t="s">
        <v>112</v>
      </c>
      <c r="E47" s="143" t="s">
        <v>112</v>
      </c>
      <c r="F47" s="143" t="s">
        <v>75</v>
      </c>
      <c r="G47" s="143" t="s">
        <v>324</v>
      </c>
      <c r="H47" s="143" t="s">
        <v>74</v>
      </c>
      <c r="I47" s="143" t="s">
        <v>75</v>
      </c>
      <c r="J47" s="143" t="s">
        <v>74</v>
      </c>
      <c r="K47" s="143" t="s">
        <v>74</v>
      </c>
      <c r="L47" s="143" t="s">
        <v>74</v>
      </c>
      <c r="M47" s="143" t="s">
        <v>72</v>
      </c>
      <c r="N47" s="143" t="s">
        <v>71</v>
      </c>
      <c r="O47" s="535"/>
    </row>
    <row r="48" spans="2:15" ht="15.75">
      <c r="B48" s="479" t="s">
        <v>306</v>
      </c>
      <c r="C48" s="527">
        <v>0.15</v>
      </c>
      <c r="D48" s="527">
        <v>0.3</v>
      </c>
      <c r="E48" s="528">
        <v>10.32</v>
      </c>
      <c r="F48" s="510">
        <v>14.51</v>
      </c>
      <c r="G48" s="508">
        <v>0.15</v>
      </c>
      <c r="H48" s="508">
        <f>ROUND(F48*G48,2)</f>
        <v>2.18</v>
      </c>
      <c r="I48" s="510">
        <f aca="true" t="shared" si="5" ref="I48:I60">(C48)*E48</f>
        <v>1.548</v>
      </c>
      <c r="J48" s="508">
        <f aca="true" t="shared" si="6" ref="J48:J61">C48*0.05*E48</f>
        <v>0.0774</v>
      </c>
      <c r="K48" s="508">
        <f aca="true" t="shared" si="7" ref="K48:K61">H48-L48</f>
        <v>1.6382000000000003</v>
      </c>
      <c r="L48" s="508">
        <f aca="true" t="shared" si="8" ref="L48:L61">(C48*D48*E48)+J48</f>
        <v>0.5418</v>
      </c>
      <c r="M48" s="510">
        <f aca="true" t="shared" si="9" ref="M48:M61">(C48+(D48*2))*E48</f>
        <v>7.74</v>
      </c>
      <c r="N48" s="534">
        <f aca="true" t="shared" si="10" ref="N48:N61">E48*0.2*0.3</f>
        <v>0.6192</v>
      </c>
      <c r="O48" s="504">
        <f aca="true" t="shared" si="11" ref="O48:O61">E48*0.2*0.3</f>
        <v>0.6192</v>
      </c>
    </row>
    <row r="49" spans="2:15" ht="15.75">
      <c r="B49" s="479" t="s">
        <v>307</v>
      </c>
      <c r="C49" s="529">
        <v>0.15</v>
      </c>
      <c r="D49" s="529">
        <v>0.3</v>
      </c>
      <c r="E49" s="530">
        <v>10.09</v>
      </c>
      <c r="F49" s="510">
        <v>7.21</v>
      </c>
      <c r="G49" s="508">
        <v>0.15</v>
      </c>
      <c r="H49" s="508">
        <f aca="true" t="shared" si="12" ref="H49:H61">ROUND(F49*G49,2)</f>
        <v>1.08</v>
      </c>
      <c r="I49" s="510">
        <f t="shared" si="5"/>
        <v>1.5134999999999998</v>
      </c>
      <c r="J49" s="510">
        <f t="shared" si="6"/>
        <v>0.07567499999999999</v>
      </c>
      <c r="K49" s="510">
        <f t="shared" si="7"/>
        <v>0.5502750000000001</v>
      </c>
      <c r="L49" s="510">
        <f t="shared" si="8"/>
        <v>0.529725</v>
      </c>
      <c r="M49" s="510">
        <f t="shared" si="9"/>
        <v>7.5675</v>
      </c>
      <c r="N49" s="534">
        <f t="shared" si="10"/>
        <v>0.6054</v>
      </c>
      <c r="O49" s="341">
        <f t="shared" si="11"/>
        <v>0.6054</v>
      </c>
    </row>
    <row r="50" spans="2:15" ht="15.75">
      <c r="B50" s="479" t="s">
        <v>308</v>
      </c>
      <c r="C50" s="529">
        <v>0.15</v>
      </c>
      <c r="D50" s="529">
        <v>0.3</v>
      </c>
      <c r="E50" s="530">
        <v>4.32</v>
      </c>
      <c r="F50" s="510">
        <v>6.31</v>
      </c>
      <c r="G50" s="508">
        <v>0.15</v>
      </c>
      <c r="H50" s="508">
        <f t="shared" si="12"/>
        <v>0.95</v>
      </c>
      <c r="I50" s="510">
        <f t="shared" si="5"/>
        <v>0.648</v>
      </c>
      <c r="J50" s="510">
        <f t="shared" si="6"/>
        <v>0.0324</v>
      </c>
      <c r="K50" s="510">
        <f t="shared" si="7"/>
        <v>0.7232</v>
      </c>
      <c r="L50" s="510">
        <f t="shared" si="8"/>
        <v>0.2268</v>
      </c>
      <c r="M50" s="510">
        <f t="shared" si="9"/>
        <v>3.24</v>
      </c>
      <c r="N50" s="534">
        <f t="shared" si="10"/>
        <v>0.25920000000000004</v>
      </c>
      <c r="O50" s="341">
        <f t="shared" si="11"/>
        <v>0.25920000000000004</v>
      </c>
    </row>
    <row r="51" spans="2:15" ht="15.75">
      <c r="B51" s="479" t="s">
        <v>309</v>
      </c>
      <c r="C51" s="529">
        <v>0.15</v>
      </c>
      <c r="D51" s="529">
        <v>0.3</v>
      </c>
      <c r="E51" s="530">
        <v>4.67</v>
      </c>
      <c r="F51" s="510">
        <v>7.36</v>
      </c>
      <c r="G51" s="508">
        <v>0.15</v>
      </c>
      <c r="H51" s="508">
        <f t="shared" si="12"/>
        <v>1.1</v>
      </c>
      <c r="I51" s="510">
        <f t="shared" si="5"/>
        <v>0.7005</v>
      </c>
      <c r="J51" s="510">
        <f t="shared" si="6"/>
        <v>0.035025</v>
      </c>
      <c r="K51" s="510">
        <f t="shared" si="7"/>
        <v>0.8548250000000002</v>
      </c>
      <c r="L51" s="510">
        <f t="shared" si="8"/>
        <v>0.24517499999999998</v>
      </c>
      <c r="M51" s="510">
        <f t="shared" si="9"/>
        <v>3.5025</v>
      </c>
      <c r="N51" s="534">
        <f t="shared" si="10"/>
        <v>0.2802</v>
      </c>
      <c r="O51" s="341">
        <f t="shared" si="11"/>
        <v>0.2802</v>
      </c>
    </row>
    <row r="52" spans="2:15" ht="15.75">
      <c r="B52" s="479" t="s">
        <v>310</v>
      </c>
      <c r="C52" s="529">
        <v>0.15</v>
      </c>
      <c r="D52" s="529">
        <v>0.3</v>
      </c>
      <c r="E52" s="530">
        <v>4.81</v>
      </c>
      <c r="F52" s="510">
        <v>2.39</v>
      </c>
      <c r="G52" s="508">
        <v>0.15</v>
      </c>
      <c r="H52" s="508">
        <f t="shared" si="12"/>
        <v>0.36</v>
      </c>
      <c r="I52" s="510">
        <f t="shared" si="5"/>
        <v>0.7214999999999999</v>
      </c>
      <c r="J52" s="510">
        <f t="shared" si="6"/>
        <v>0.036074999999999996</v>
      </c>
      <c r="K52" s="510">
        <f t="shared" si="7"/>
        <v>0.10747499999999999</v>
      </c>
      <c r="L52" s="510">
        <f t="shared" si="8"/>
        <v>0.252525</v>
      </c>
      <c r="M52" s="510">
        <f t="shared" si="9"/>
        <v>3.6075</v>
      </c>
      <c r="N52" s="534">
        <f t="shared" si="10"/>
        <v>0.28859999999999997</v>
      </c>
      <c r="O52" s="341">
        <f t="shared" si="11"/>
        <v>0.28859999999999997</v>
      </c>
    </row>
    <row r="53" spans="2:15" ht="15.75">
      <c r="B53" s="479" t="s">
        <v>311</v>
      </c>
      <c r="C53" s="529">
        <v>0.15</v>
      </c>
      <c r="D53" s="529">
        <v>0.3</v>
      </c>
      <c r="E53" s="530">
        <v>8.84</v>
      </c>
      <c r="F53" s="510">
        <v>12.62</v>
      </c>
      <c r="G53" s="508">
        <v>0.15</v>
      </c>
      <c r="H53" s="508">
        <f t="shared" si="12"/>
        <v>1.89</v>
      </c>
      <c r="I53" s="510">
        <f t="shared" si="5"/>
        <v>1.3259999999999998</v>
      </c>
      <c r="J53" s="510">
        <f t="shared" si="6"/>
        <v>0.0663</v>
      </c>
      <c r="K53" s="510">
        <f t="shared" si="7"/>
        <v>1.4259</v>
      </c>
      <c r="L53" s="510">
        <f t="shared" si="8"/>
        <v>0.46409999999999996</v>
      </c>
      <c r="M53" s="510">
        <f t="shared" si="9"/>
        <v>6.63</v>
      </c>
      <c r="N53" s="534">
        <f t="shared" si="10"/>
        <v>0.5304</v>
      </c>
      <c r="O53" s="341">
        <f t="shared" si="11"/>
        <v>0.5304</v>
      </c>
    </row>
    <row r="54" spans="2:15" ht="15.75">
      <c r="B54" s="479" t="s">
        <v>312</v>
      </c>
      <c r="C54" s="529">
        <v>0.15</v>
      </c>
      <c r="D54" s="529">
        <v>0.3</v>
      </c>
      <c r="E54" s="531">
        <v>7.44</v>
      </c>
      <c r="F54" s="510">
        <v>6.7</v>
      </c>
      <c r="G54" s="508">
        <v>0.15</v>
      </c>
      <c r="H54" s="508">
        <f t="shared" si="12"/>
        <v>1.01</v>
      </c>
      <c r="I54" s="510">
        <f t="shared" si="5"/>
        <v>1.116</v>
      </c>
      <c r="J54" s="510">
        <f t="shared" si="6"/>
        <v>0.0558</v>
      </c>
      <c r="K54" s="510">
        <f t="shared" si="7"/>
        <v>0.6194</v>
      </c>
      <c r="L54" s="510">
        <f t="shared" si="8"/>
        <v>0.3906</v>
      </c>
      <c r="M54" s="510">
        <f t="shared" si="9"/>
        <v>5.58</v>
      </c>
      <c r="N54" s="534">
        <f t="shared" si="10"/>
        <v>0.4464000000000001</v>
      </c>
      <c r="O54" s="341">
        <f t="shared" si="11"/>
        <v>0.4464000000000001</v>
      </c>
    </row>
    <row r="55" spans="2:15" ht="15.75">
      <c r="B55" s="479" t="s">
        <v>313</v>
      </c>
      <c r="C55" s="529">
        <v>0.15</v>
      </c>
      <c r="D55" s="529">
        <v>0.3</v>
      </c>
      <c r="E55" s="530">
        <v>4.81</v>
      </c>
      <c r="F55" s="510">
        <v>2.39</v>
      </c>
      <c r="G55" s="508">
        <v>0.15</v>
      </c>
      <c r="H55" s="508">
        <f t="shared" si="12"/>
        <v>0.36</v>
      </c>
      <c r="I55" s="510">
        <f t="shared" si="5"/>
        <v>0.7214999999999999</v>
      </c>
      <c r="J55" s="510">
        <f t="shared" si="6"/>
        <v>0.036074999999999996</v>
      </c>
      <c r="K55" s="510">
        <f t="shared" si="7"/>
        <v>0.10747499999999999</v>
      </c>
      <c r="L55" s="510">
        <f t="shared" si="8"/>
        <v>0.252525</v>
      </c>
      <c r="M55" s="510">
        <f t="shared" si="9"/>
        <v>3.6075</v>
      </c>
      <c r="N55" s="534">
        <f t="shared" si="10"/>
        <v>0.28859999999999997</v>
      </c>
      <c r="O55" s="341">
        <f t="shared" si="11"/>
        <v>0.28859999999999997</v>
      </c>
    </row>
    <row r="56" spans="2:15" ht="15.75">
      <c r="B56" s="479" t="s">
        <v>314</v>
      </c>
      <c r="C56" s="529">
        <v>0.15</v>
      </c>
      <c r="D56" s="529">
        <v>0.3</v>
      </c>
      <c r="E56" s="530">
        <v>4.49</v>
      </c>
      <c r="F56" s="510">
        <v>0.27</v>
      </c>
      <c r="G56" s="508">
        <f aca="true" t="shared" si="13" ref="G56:G61">E56</f>
        <v>4.49</v>
      </c>
      <c r="H56" s="508">
        <f t="shared" si="12"/>
        <v>1.21</v>
      </c>
      <c r="I56" s="510">
        <f t="shared" si="5"/>
        <v>0.6735</v>
      </c>
      <c r="J56" s="510">
        <f t="shared" si="6"/>
        <v>0.033675000000000004</v>
      </c>
      <c r="K56" s="510">
        <f t="shared" si="7"/>
        <v>0.974275</v>
      </c>
      <c r="L56" s="510">
        <f t="shared" si="8"/>
        <v>0.23572500000000002</v>
      </c>
      <c r="M56" s="510">
        <f t="shared" si="9"/>
        <v>3.3675</v>
      </c>
      <c r="N56" s="534">
        <f t="shared" si="10"/>
        <v>0.26940000000000003</v>
      </c>
      <c r="O56" s="341">
        <f t="shared" si="11"/>
        <v>0.26940000000000003</v>
      </c>
    </row>
    <row r="57" spans="2:15" ht="15.75">
      <c r="B57" s="479" t="s">
        <v>315</v>
      </c>
      <c r="C57" s="529">
        <v>0.15</v>
      </c>
      <c r="D57" s="529">
        <v>0.3</v>
      </c>
      <c r="E57" s="530">
        <v>4.32</v>
      </c>
      <c r="F57" s="510">
        <v>0.27</v>
      </c>
      <c r="G57" s="508">
        <f t="shared" si="13"/>
        <v>4.32</v>
      </c>
      <c r="H57" s="508">
        <f t="shared" si="12"/>
        <v>1.17</v>
      </c>
      <c r="I57" s="510">
        <f t="shared" si="5"/>
        <v>0.648</v>
      </c>
      <c r="J57" s="510">
        <f t="shared" si="6"/>
        <v>0.0324</v>
      </c>
      <c r="K57" s="510">
        <f t="shared" si="7"/>
        <v>0.9431999999999999</v>
      </c>
      <c r="L57" s="510">
        <f t="shared" si="8"/>
        <v>0.2268</v>
      </c>
      <c r="M57" s="510">
        <f t="shared" si="9"/>
        <v>3.24</v>
      </c>
      <c r="N57" s="534">
        <f t="shared" si="10"/>
        <v>0.25920000000000004</v>
      </c>
      <c r="O57" s="341">
        <f t="shared" si="11"/>
        <v>0.25920000000000004</v>
      </c>
    </row>
    <row r="58" spans="2:15" ht="15.75">
      <c r="B58" s="479" t="s">
        <v>316</v>
      </c>
      <c r="C58" s="529">
        <v>0.15</v>
      </c>
      <c r="D58" s="529">
        <v>0.3</v>
      </c>
      <c r="E58" s="530">
        <v>2.7</v>
      </c>
      <c r="F58" s="510">
        <v>0.25</v>
      </c>
      <c r="G58" s="508">
        <f t="shared" si="13"/>
        <v>2.7</v>
      </c>
      <c r="H58" s="508">
        <f t="shared" si="12"/>
        <v>0.68</v>
      </c>
      <c r="I58" s="510">
        <f t="shared" si="5"/>
        <v>0.405</v>
      </c>
      <c r="J58" s="510">
        <f t="shared" si="6"/>
        <v>0.02025</v>
      </c>
      <c r="K58" s="510">
        <f t="shared" si="7"/>
        <v>0.5382500000000001</v>
      </c>
      <c r="L58" s="510">
        <f t="shared" si="8"/>
        <v>0.14175</v>
      </c>
      <c r="M58" s="510">
        <f t="shared" si="9"/>
        <v>2.0250000000000004</v>
      </c>
      <c r="N58" s="534">
        <f t="shared" si="10"/>
        <v>0.162</v>
      </c>
      <c r="O58" s="341">
        <f t="shared" si="11"/>
        <v>0.162</v>
      </c>
    </row>
    <row r="59" spans="2:15" ht="15.75">
      <c r="B59" s="479" t="s">
        <v>317</v>
      </c>
      <c r="C59" s="529">
        <v>0.15</v>
      </c>
      <c r="D59" s="529">
        <v>0.3</v>
      </c>
      <c r="E59" s="530">
        <v>2.82</v>
      </c>
      <c r="F59" s="510">
        <v>0.11</v>
      </c>
      <c r="G59" s="508">
        <f t="shared" si="13"/>
        <v>2.82</v>
      </c>
      <c r="H59" s="508">
        <f t="shared" si="12"/>
        <v>0.31</v>
      </c>
      <c r="I59" s="510">
        <f t="shared" si="5"/>
        <v>0.423</v>
      </c>
      <c r="J59" s="510">
        <f t="shared" si="6"/>
        <v>0.02115</v>
      </c>
      <c r="K59" s="510">
        <f t="shared" si="7"/>
        <v>0.16195</v>
      </c>
      <c r="L59" s="510">
        <f t="shared" si="8"/>
        <v>0.14805</v>
      </c>
      <c r="M59" s="510">
        <f t="shared" si="9"/>
        <v>2.1149999999999998</v>
      </c>
      <c r="N59" s="534">
        <f t="shared" si="10"/>
        <v>0.1692</v>
      </c>
      <c r="O59" s="341">
        <f t="shared" si="11"/>
        <v>0.1692</v>
      </c>
    </row>
    <row r="60" spans="2:15" ht="15.75">
      <c r="B60" s="479" t="s">
        <v>318</v>
      </c>
      <c r="C60" s="529">
        <v>0.15</v>
      </c>
      <c r="D60" s="529">
        <v>0.3</v>
      </c>
      <c r="E60" s="530">
        <v>8.12</v>
      </c>
      <c r="F60" s="510">
        <v>0.06</v>
      </c>
      <c r="G60" s="508">
        <f t="shared" si="13"/>
        <v>8.12</v>
      </c>
      <c r="H60" s="508">
        <f t="shared" si="12"/>
        <v>0.49</v>
      </c>
      <c r="I60" s="510">
        <f t="shared" si="5"/>
        <v>1.2179999999999997</v>
      </c>
      <c r="J60" s="510">
        <f t="shared" si="6"/>
        <v>0.06089999999999999</v>
      </c>
      <c r="K60" s="510">
        <f t="shared" si="7"/>
        <v>0.06370000000000003</v>
      </c>
      <c r="L60" s="510">
        <f t="shared" si="8"/>
        <v>0.42629999999999996</v>
      </c>
      <c r="M60" s="510">
        <f t="shared" si="9"/>
        <v>6.09</v>
      </c>
      <c r="N60" s="534">
        <f t="shared" si="10"/>
        <v>0.48719999999999997</v>
      </c>
      <c r="O60" s="341">
        <f t="shared" si="11"/>
        <v>0.48719999999999997</v>
      </c>
    </row>
    <row r="61" spans="2:15" ht="15.75">
      <c r="B61" s="479" t="s">
        <v>319</v>
      </c>
      <c r="C61" s="529">
        <v>0.15</v>
      </c>
      <c r="D61" s="529">
        <v>0.3</v>
      </c>
      <c r="E61" s="530">
        <v>4.32</v>
      </c>
      <c r="F61" s="510">
        <v>0.06</v>
      </c>
      <c r="G61" s="508">
        <f t="shared" si="13"/>
        <v>4.32</v>
      </c>
      <c r="H61" s="508">
        <f t="shared" si="12"/>
        <v>0.26</v>
      </c>
      <c r="I61" s="510">
        <f>(C61)*E61</f>
        <v>0.648</v>
      </c>
      <c r="J61" s="510">
        <f t="shared" si="6"/>
        <v>0.0324</v>
      </c>
      <c r="K61" s="510">
        <f t="shared" si="7"/>
        <v>0.03320000000000001</v>
      </c>
      <c r="L61" s="510">
        <f t="shared" si="8"/>
        <v>0.2268</v>
      </c>
      <c r="M61" s="510">
        <f t="shared" si="9"/>
        <v>3.24</v>
      </c>
      <c r="N61" s="534">
        <f t="shared" si="10"/>
        <v>0.25920000000000004</v>
      </c>
      <c r="O61" s="341">
        <f t="shared" si="11"/>
        <v>0.25920000000000004</v>
      </c>
    </row>
    <row r="62" spans="2:15" ht="16.5" thickBot="1">
      <c r="B62" s="523"/>
      <c r="C62" s="524"/>
      <c r="D62" s="524"/>
      <c r="E62" s="525"/>
      <c r="F62" s="525"/>
      <c r="G62" s="525"/>
      <c r="H62" s="524"/>
      <c r="I62" s="524"/>
      <c r="J62" s="524"/>
      <c r="K62" s="524"/>
      <c r="L62" s="524"/>
      <c r="M62" s="524"/>
      <c r="N62" s="526"/>
      <c r="O62" s="326"/>
    </row>
    <row r="63" spans="2:18" ht="16.5" thickBot="1">
      <c r="B63" s="138" t="s">
        <v>85</v>
      </c>
      <c r="C63" s="137"/>
      <c r="D63" s="137"/>
      <c r="E63" s="136">
        <f>SUM(E8:E40)</f>
        <v>174.26000000000005</v>
      </c>
      <c r="F63" s="136"/>
      <c r="G63" s="136"/>
      <c r="H63" s="126">
        <f aca="true" t="shared" si="14" ref="H63:N63">SUM(H48:H61)</f>
        <v>13.05</v>
      </c>
      <c r="I63" s="126">
        <f t="shared" si="14"/>
        <v>12.3105</v>
      </c>
      <c r="J63" s="126">
        <f t="shared" si="14"/>
        <v>0.615525</v>
      </c>
      <c r="K63" s="126">
        <f t="shared" si="14"/>
        <v>8.741325000000002</v>
      </c>
      <c r="L63" s="126">
        <f t="shared" si="14"/>
        <v>4.308674999999999</v>
      </c>
      <c r="M63" s="126">
        <f t="shared" si="14"/>
        <v>61.5525</v>
      </c>
      <c r="N63" s="126">
        <f t="shared" si="14"/>
        <v>4.9242</v>
      </c>
      <c r="O63" s="136">
        <f>SUM(O8:O40)</f>
        <v>0</v>
      </c>
      <c r="R63" s="135"/>
    </row>
    <row r="65" ht="15.75" thickBot="1"/>
    <row r="66" spans="2:15" ht="15.75" thickBot="1">
      <c r="B66" s="730" t="s">
        <v>305</v>
      </c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2"/>
      <c r="O66" s="532"/>
    </row>
    <row r="67" spans="2:17" s="134" customFormat="1" ht="15.75" thickBot="1">
      <c r="B67" s="123"/>
      <c r="C67" s="122"/>
      <c r="D67" s="122"/>
      <c r="E67" s="133"/>
      <c r="F67" s="133"/>
      <c r="G67" s="133"/>
      <c r="H67" s="533"/>
      <c r="I67" s="533"/>
      <c r="J67" s="533"/>
      <c r="K67" s="533"/>
      <c r="L67" s="533"/>
      <c r="M67" s="133"/>
      <c r="O67" s="533"/>
      <c r="P67" s="133"/>
      <c r="Q67" s="133"/>
    </row>
    <row r="68" spans="2:17" s="134" customFormat="1" ht="15">
      <c r="B68" s="123"/>
      <c r="C68" s="122"/>
      <c r="D68" s="122"/>
      <c r="E68" s="133"/>
      <c r="F68" s="133"/>
      <c r="G68" s="125" t="s">
        <v>338</v>
      </c>
      <c r="H68" s="125" t="s">
        <v>339</v>
      </c>
      <c r="I68" s="125" t="s">
        <v>83</v>
      </c>
      <c r="J68" s="125" t="s">
        <v>82</v>
      </c>
      <c r="K68" s="125" t="s">
        <v>81</v>
      </c>
      <c r="L68" s="125" t="s">
        <v>80</v>
      </c>
      <c r="M68" s="125" t="s">
        <v>77</v>
      </c>
      <c r="N68" s="125" t="s">
        <v>76</v>
      </c>
      <c r="Q68" s="133"/>
    </row>
    <row r="69" spans="2:17" s="134" customFormat="1" ht="16.5" thickBot="1">
      <c r="B69" s="123"/>
      <c r="C69" s="122"/>
      <c r="D69" s="122"/>
      <c r="E69" s="133"/>
      <c r="F69" s="133"/>
      <c r="G69" s="124" t="s">
        <v>74</v>
      </c>
      <c r="H69" s="124" t="s">
        <v>74</v>
      </c>
      <c r="I69" s="124" t="s">
        <v>75</v>
      </c>
      <c r="J69" s="124" t="s">
        <v>74</v>
      </c>
      <c r="K69" s="124" t="s">
        <v>74</v>
      </c>
      <c r="L69" s="124" t="s">
        <v>74</v>
      </c>
      <c r="M69" s="124" t="s">
        <v>72</v>
      </c>
      <c r="N69" s="124" t="s">
        <v>71</v>
      </c>
      <c r="Q69" s="133"/>
    </row>
    <row r="70" spans="2:17" s="134" customFormat="1" ht="15.75">
      <c r="B70" s="759" t="s">
        <v>304</v>
      </c>
      <c r="C70" s="759"/>
      <c r="D70" s="759"/>
      <c r="E70" s="759"/>
      <c r="F70" s="759"/>
      <c r="G70" s="536">
        <f>SAPATAS!N52</f>
        <v>79.85052499999998</v>
      </c>
      <c r="H70" s="569"/>
      <c r="I70" s="537">
        <f>SAPATAS!O52</f>
        <v>35.09500000000001</v>
      </c>
      <c r="J70" s="537">
        <f>SAPATAS!P52</f>
        <v>1.7547500000000005</v>
      </c>
      <c r="K70" s="538">
        <f>SAPATAS!Q52</f>
        <v>62.55877500000002</v>
      </c>
      <c r="L70" s="539">
        <f>SAPATAS!R52</f>
        <v>17.29174999999999</v>
      </c>
      <c r="M70" s="537"/>
      <c r="N70" s="540"/>
      <c r="Q70" s="133"/>
    </row>
    <row r="71" spans="2:17" s="134" customFormat="1" ht="15.75">
      <c r="B71" s="759" t="s">
        <v>279</v>
      </c>
      <c r="C71" s="759"/>
      <c r="D71" s="759"/>
      <c r="E71" s="759"/>
      <c r="F71" s="759"/>
      <c r="G71" s="541"/>
      <c r="H71" s="541">
        <f>G41</f>
        <v>7.8417</v>
      </c>
      <c r="I71" s="542">
        <f>H41</f>
        <v>26.139</v>
      </c>
      <c r="J71" s="542">
        <f>I41</f>
        <v>1.3069500000000003</v>
      </c>
      <c r="K71" s="543"/>
      <c r="L71" s="543"/>
      <c r="M71" s="542">
        <f>J41</f>
        <v>130.69499999999996</v>
      </c>
      <c r="N71" s="544">
        <f>K41</f>
        <v>10.455600000000002</v>
      </c>
      <c r="Q71" s="133"/>
    </row>
    <row r="72" spans="2:17" s="134" customFormat="1" ht="15.75">
      <c r="B72" s="759" t="s">
        <v>326</v>
      </c>
      <c r="C72" s="759"/>
      <c r="D72" s="759"/>
      <c r="E72" s="759"/>
      <c r="F72" s="759"/>
      <c r="G72" s="545"/>
      <c r="H72" s="545">
        <f aca="true" t="shared" si="15" ref="H72:N72">H63</f>
        <v>13.05</v>
      </c>
      <c r="I72" s="546">
        <f t="shared" si="15"/>
        <v>12.3105</v>
      </c>
      <c r="J72" s="546">
        <f t="shared" si="15"/>
        <v>0.615525</v>
      </c>
      <c r="K72" s="547">
        <f t="shared" si="15"/>
        <v>8.741325000000002</v>
      </c>
      <c r="L72" s="547">
        <f t="shared" si="15"/>
        <v>4.308674999999999</v>
      </c>
      <c r="M72" s="546">
        <f t="shared" si="15"/>
        <v>61.5525</v>
      </c>
      <c r="N72" s="548">
        <f t="shared" si="15"/>
        <v>4.9242</v>
      </c>
      <c r="Q72" s="133"/>
    </row>
    <row r="73" spans="2:14" ht="16.5" thickBot="1">
      <c r="B73" s="759" t="s">
        <v>327</v>
      </c>
      <c r="C73" s="759"/>
      <c r="D73" s="759"/>
      <c r="E73" s="759"/>
      <c r="F73" s="759"/>
      <c r="G73" s="567">
        <f>SUM(G70:G72)</f>
        <v>79.85052499999998</v>
      </c>
      <c r="H73" s="567">
        <f aca="true" t="shared" si="16" ref="H73:N73">SUM(H70:H72)</f>
        <v>20.8917</v>
      </c>
      <c r="I73" s="568">
        <f t="shared" si="16"/>
        <v>73.54450000000001</v>
      </c>
      <c r="J73" s="568">
        <f t="shared" si="16"/>
        <v>3.677225000000001</v>
      </c>
      <c r="K73" s="568">
        <f t="shared" si="16"/>
        <v>71.30010000000001</v>
      </c>
      <c r="L73" s="568">
        <f t="shared" si="16"/>
        <v>21.600424999999987</v>
      </c>
      <c r="M73" s="568">
        <f t="shared" si="16"/>
        <v>192.24749999999997</v>
      </c>
      <c r="N73" s="570">
        <f t="shared" si="16"/>
        <v>15.379800000000003</v>
      </c>
    </row>
    <row r="74" spans="2:14" ht="15.75" customHeight="1" thickBot="1">
      <c r="B74" s="754" t="s">
        <v>278</v>
      </c>
      <c r="C74" s="754"/>
      <c r="D74" s="754"/>
      <c r="E74" s="754"/>
      <c r="F74" s="754"/>
      <c r="G74" s="549">
        <f>G73/2</f>
        <v>39.92526249999999</v>
      </c>
      <c r="H74" s="549">
        <f aca="true" t="shared" si="17" ref="H74:N74">H73/2</f>
        <v>10.44585</v>
      </c>
      <c r="I74" s="550">
        <f t="shared" si="17"/>
        <v>36.77225000000001</v>
      </c>
      <c r="J74" s="550">
        <f t="shared" si="17"/>
        <v>1.8386125000000004</v>
      </c>
      <c r="K74" s="550">
        <f t="shared" si="17"/>
        <v>35.65005000000001</v>
      </c>
      <c r="L74" s="550">
        <f t="shared" si="17"/>
        <v>10.800212499999994</v>
      </c>
      <c r="M74" s="550">
        <f t="shared" si="17"/>
        <v>96.12374999999999</v>
      </c>
      <c r="N74" s="551">
        <f t="shared" si="17"/>
        <v>7.6899000000000015</v>
      </c>
    </row>
    <row r="76" ht="15.75" thickBot="1"/>
    <row r="77" spans="8:11" ht="19.5" thickBot="1">
      <c r="H77" s="733" t="s">
        <v>328</v>
      </c>
      <c r="I77" s="734"/>
      <c r="J77" s="734"/>
      <c r="K77" s="735"/>
    </row>
    <row r="78" spans="8:11" ht="15">
      <c r="H78" s="736" t="s">
        <v>329</v>
      </c>
      <c r="I78" s="737"/>
      <c r="J78" s="737"/>
      <c r="K78" s="738"/>
    </row>
    <row r="79" spans="8:11" ht="15">
      <c r="H79" s="745" t="s">
        <v>330</v>
      </c>
      <c r="I79" s="746"/>
      <c r="J79" s="746"/>
      <c r="K79" s="747"/>
    </row>
    <row r="80" spans="8:11" ht="15.75" thickBot="1">
      <c r="H80" s="748" t="s">
        <v>331</v>
      </c>
      <c r="I80" s="749"/>
      <c r="J80" s="749"/>
      <c r="K80" s="750"/>
    </row>
    <row r="81" spans="8:11" ht="15.75" thickBot="1">
      <c r="H81" s="751">
        <f>((1.4*20.3)/2)*12.1</f>
        <v>171.94099999999997</v>
      </c>
      <c r="I81" s="752"/>
      <c r="J81" s="752"/>
      <c r="K81" s="753"/>
    </row>
    <row r="82" spans="2:11" ht="15.75" thickBot="1">
      <c r="B82" s="754" t="s">
        <v>278</v>
      </c>
      <c r="C82" s="754"/>
      <c r="D82" s="754"/>
      <c r="E82" s="754"/>
      <c r="F82" s="754"/>
      <c r="G82" s="755"/>
      <c r="H82" s="756">
        <f>H81/2</f>
        <v>85.97049999999999</v>
      </c>
      <c r="I82" s="757"/>
      <c r="J82" s="757"/>
      <c r="K82" s="758"/>
    </row>
    <row r="83" ht="15">
      <c r="J83" s="133">
        <v>12</v>
      </c>
    </row>
    <row r="84" spans="10:14" ht="15">
      <c r="J84" s="133">
        <v>3</v>
      </c>
      <c r="N84" s="205">
        <f>J83/J84</f>
        <v>4</v>
      </c>
    </row>
    <row r="85" ht="15">
      <c r="N85" s="205"/>
    </row>
    <row r="86" ht="15">
      <c r="N86" s="205">
        <f>J84/J83</f>
        <v>0.25</v>
      </c>
    </row>
  </sheetData>
  <sheetProtection/>
  <mergeCells count="21">
    <mergeCell ref="H81:K81"/>
    <mergeCell ref="B82:G82"/>
    <mergeCell ref="H82:K82"/>
    <mergeCell ref="B70:F70"/>
    <mergeCell ref="B71:F71"/>
    <mergeCell ref="B73:F73"/>
    <mergeCell ref="B72:F72"/>
    <mergeCell ref="B74:F74"/>
    <mergeCell ref="B66:N66"/>
    <mergeCell ref="H77:K77"/>
    <mergeCell ref="H78:K78"/>
    <mergeCell ref="B2:N3"/>
    <mergeCell ref="H79:K79"/>
    <mergeCell ref="H80:K80"/>
    <mergeCell ref="B1:N1"/>
    <mergeCell ref="C5:E5"/>
    <mergeCell ref="B44:N44"/>
    <mergeCell ref="C45:E45"/>
    <mergeCell ref="F45:N45"/>
    <mergeCell ref="B4:N4"/>
    <mergeCell ref="F5:N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68" r:id="rId1"/>
  <headerFooter>
    <oddFooter>&amp;RPágina &amp;P de &amp;N</oddFooter>
  </headerFooter>
  <rowBreaks count="1" manualBreakCount="1">
    <brk id="65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70"/>
  <sheetViews>
    <sheetView view="pageBreakPreview" zoomScaleNormal="130" zoomScaleSheetLayoutView="100" zoomScalePageLayoutView="0" workbookViewId="0" topLeftCell="A1">
      <selection activeCell="R49" sqref="R49"/>
    </sheetView>
  </sheetViews>
  <sheetFormatPr defaultColWidth="9.140625" defaultRowHeight="12.75"/>
  <cols>
    <col min="1" max="1" width="9.140625" style="133" customWidth="1"/>
    <col min="2" max="2" width="12.57421875" style="133" bestFit="1" customWidth="1"/>
    <col min="3" max="3" width="8.421875" style="133" bestFit="1" customWidth="1"/>
    <col min="4" max="4" width="18.00390625" style="133" customWidth="1"/>
    <col min="5" max="5" width="12.7109375" style="133" customWidth="1"/>
    <col min="6" max="6" width="7.8515625" style="133" customWidth="1"/>
    <col min="7" max="7" width="11.421875" style="133" bestFit="1" customWidth="1"/>
    <col min="8" max="8" width="9.57421875" style="133" customWidth="1"/>
    <col min="9" max="9" width="9.00390625" style="133" bestFit="1" customWidth="1"/>
    <col min="10" max="10" width="10.00390625" style="133" bestFit="1" customWidth="1"/>
    <col min="11" max="11" width="8.28125" style="133" bestFit="1" customWidth="1"/>
    <col min="12" max="12" width="9.421875" style="133" bestFit="1" customWidth="1"/>
    <col min="13" max="13" width="0" style="133" hidden="1" customWidth="1"/>
    <col min="14" max="14" width="9.140625" style="133" customWidth="1"/>
    <col min="15" max="15" width="11.140625" style="133" customWidth="1"/>
    <col min="16" max="17" width="9.140625" style="133" customWidth="1"/>
    <col min="18" max="18" width="12.00390625" style="133" customWidth="1"/>
    <col min="19" max="16384" width="9.140625" style="133" customWidth="1"/>
  </cols>
  <sheetData>
    <row r="1" spans="1:16" ht="15.75" thickBot="1">
      <c r="A1" s="290"/>
      <c r="B1" s="760"/>
      <c r="C1" s="760"/>
      <c r="D1" s="760"/>
      <c r="E1" s="760"/>
      <c r="F1" s="760"/>
      <c r="G1" s="760"/>
      <c r="H1" s="760"/>
      <c r="I1" s="760"/>
      <c r="J1" s="760"/>
      <c r="K1" s="151"/>
      <c r="L1" s="151"/>
      <c r="M1" s="150"/>
      <c r="N1" s="151"/>
      <c r="O1" s="151"/>
      <c r="P1" s="290"/>
    </row>
    <row r="2" spans="1:16" ht="16.5" customHeight="1" thickBot="1">
      <c r="A2" s="290"/>
      <c r="B2" s="718" t="s">
        <v>130</v>
      </c>
      <c r="C2" s="719"/>
      <c r="D2" s="719"/>
      <c r="E2" s="719"/>
      <c r="F2" s="719"/>
      <c r="G2" s="719"/>
      <c r="H2" s="719"/>
      <c r="I2" s="719"/>
      <c r="J2" s="720"/>
      <c r="K2" s="364"/>
      <c r="L2" s="364"/>
      <c r="M2" s="364"/>
      <c r="N2" s="364"/>
      <c r="O2" s="331"/>
      <c r="P2" s="290"/>
    </row>
    <row r="3" spans="2:19" ht="15.75" thickBot="1">
      <c r="B3" s="323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S3" s="145"/>
    </row>
    <row r="4" spans="2:19" s="141" customFormat="1" ht="16.5" thickBot="1">
      <c r="B4" s="761" t="s">
        <v>242</v>
      </c>
      <c r="C4" s="762"/>
      <c r="D4" s="762"/>
      <c r="E4" s="762"/>
      <c r="F4" s="762"/>
      <c r="G4" s="762"/>
      <c r="H4" s="762"/>
      <c r="I4" s="762"/>
      <c r="J4" s="763"/>
      <c r="K4" s="324"/>
      <c r="L4" s="324"/>
      <c r="M4" s="324"/>
      <c r="N4" s="324"/>
      <c r="O4" s="324"/>
      <c r="Q4" s="133"/>
      <c r="S4" s="142"/>
    </row>
    <row r="5" spans="2:19" s="141" customFormat="1" ht="16.5" thickBot="1">
      <c r="B5" s="323"/>
      <c r="C5" s="291"/>
      <c r="D5" s="291"/>
      <c r="E5" s="291"/>
      <c r="F5" s="291"/>
      <c r="G5" s="291"/>
      <c r="H5" s="291"/>
      <c r="I5" s="291"/>
      <c r="J5" s="291"/>
      <c r="K5" s="324"/>
      <c r="L5" s="324"/>
      <c r="M5" s="324"/>
      <c r="N5" s="324"/>
      <c r="O5" s="324"/>
      <c r="Q5" s="133"/>
      <c r="S5" s="142"/>
    </row>
    <row r="6" spans="2:19" s="141" customFormat="1" ht="16.5" thickBot="1">
      <c r="B6" s="786" t="s">
        <v>252</v>
      </c>
      <c r="C6" s="787"/>
      <c r="D6" s="787"/>
      <c r="E6" s="787"/>
      <c r="F6" s="787"/>
      <c r="G6" s="787"/>
      <c r="H6" s="787"/>
      <c r="I6" s="787"/>
      <c r="J6" s="788"/>
      <c r="K6" s="324"/>
      <c r="L6" s="324"/>
      <c r="M6" s="324"/>
      <c r="N6" s="324"/>
      <c r="O6" s="324"/>
      <c r="Q6" s="133"/>
      <c r="S6" s="142"/>
    </row>
    <row r="7" spans="2:19" ht="15">
      <c r="B7" s="764" t="s">
        <v>243</v>
      </c>
      <c r="C7" s="765"/>
      <c r="D7" s="765"/>
      <c r="E7" s="768" t="s">
        <v>244</v>
      </c>
      <c r="F7" s="769"/>
      <c r="G7" s="769"/>
      <c r="H7" s="769"/>
      <c r="I7" s="769"/>
      <c r="J7" s="770"/>
      <c r="K7" s="326"/>
      <c r="L7" s="326"/>
      <c r="M7" s="326"/>
      <c r="N7" s="326"/>
      <c r="O7" s="326"/>
      <c r="R7" s="140"/>
      <c r="S7" s="140"/>
    </row>
    <row r="8" spans="2:15" ht="15">
      <c r="B8" s="766"/>
      <c r="C8" s="767"/>
      <c r="D8" s="767"/>
      <c r="E8" s="772" t="s">
        <v>245</v>
      </c>
      <c r="F8" s="329" t="s">
        <v>79</v>
      </c>
      <c r="G8" s="522" t="s">
        <v>246</v>
      </c>
      <c r="H8" s="773" t="s">
        <v>247</v>
      </c>
      <c r="I8" s="773"/>
      <c r="J8" s="774"/>
      <c r="K8" s="326"/>
      <c r="L8" s="326"/>
      <c r="M8" s="326"/>
      <c r="N8" s="326"/>
      <c r="O8" s="326"/>
    </row>
    <row r="9" spans="2:18" ht="15">
      <c r="B9" s="766"/>
      <c r="C9" s="767"/>
      <c r="D9" s="767"/>
      <c r="E9" s="772"/>
      <c r="F9" s="772" t="s">
        <v>261</v>
      </c>
      <c r="G9" s="772" t="s">
        <v>248</v>
      </c>
      <c r="H9" s="772" t="s">
        <v>249</v>
      </c>
      <c r="I9" s="772" t="s">
        <v>250</v>
      </c>
      <c r="J9" s="771" t="s">
        <v>251</v>
      </c>
      <c r="K9" s="326"/>
      <c r="L9" s="326"/>
      <c r="M9" s="326"/>
      <c r="N9" s="326"/>
      <c r="O9" s="326"/>
      <c r="R9" s="135"/>
    </row>
    <row r="10" spans="2:18" ht="15">
      <c r="B10" s="766"/>
      <c r="C10" s="767"/>
      <c r="D10" s="767"/>
      <c r="E10" s="772"/>
      <c r="F10" s="772" t="s">
        <v>74</v>
      </c>
      <c r="G10" s="772" t="s">
        <v>73</v>
      </c>
      <c r="H10" s="772" t="s">
        <v>73</v>
      </c>
      <c r="I10" s="772" t="s">
        <v>73</v>
      </c>
      <c r="J10" s="771" t="s">
        <v>73</v>
      </c>
      <c r="K10" s="326"/>
      <c r="L10" s="326"/>
      <c r="M10" s="326"/>
      <c r="N10" s="326"/>
      <c r="O10" s="326"/>
      <c r="R10" s="139"/>
    </row>
    <row r="11" spans="2:15" ht="15">
      <c r="B11" s="789" t="s">
        <v>253</v>
      </c>
      <c r="C11" s="790"/>
      <c r="D11" s="790"/>
      <c r="E11" s="554">
        <v>99.66</v>
      </c>
      <c r="F11" s="554">
        <v>13.3</v>
      </c>
      <c r="G11" s="554">
        <f>77.6/1.1</f>
        <v>70.54545454545453</v>
      </c>
      <c r="H11" s="555"/>
      <c r="I11" s="555"/>
      <c r="J11" s="556">
        <f>714.4/1.1</f>
        <v>649.4545454545454</v>
      </c>
      <c r="K11" s="326"/>
      <c r="L11" s="326"/>
      <c r="M11" s="326"/>
      <c r="N11" s="326"/>
      <c r="O11" s="326"/>
    </row>
    <row r="12" spans="2:15" ht="15">
      <c r="B12" s="780" t="s">
        <v>259</v>
      </c>
      <c r="C12" s="781"/>
      <c r="D12" s="782"/>
      <c r="E12" s="557">
        <v>59.78</v>
      </c>
      <c r="F12" s="557">
        <v>3.59</v>
      </c>
      <c r="G12" s="557">
        <f>66.2/1.1</f>
        <v>60.18181818181818</v>
      </c>
      <c r="H12" s="558"/>
      <c r="I12" s="557">
        <f>139.4/1.1</f>
        <v>126.72727272727272</v>
      </c>
      <c r="J12" s="559"/>
      <c r="K12" s="326"/>
      <c r="L12" s="326"/>
      <c r="M12" s="326"/>
      <c r="N12" s="326"/>
      <c r="O12" s="326"/>
    </row>
    <row r="13" spans="2:15" ht="15.75" thickBot="1">
      <c r="B13" s="791" t="s">
        <v>260</v>
      </c>
      <c r="C13" s="792"/>
      <c r="D13" s="792"/>
      <c r="E13" s="560">
        <v>126.45</v>
      </c>
      <c r="F13" s="560">
        <v>7.59</v>
      </c>
      <c r="G13" s="560">
        <f>142.3/1.1</f>
        <v>129.36363636363637</v>
      </c>
      <c r="H13" s="561"/>
      <c r="I13" s="560">
        <f>323.2/1.1</f>
        <v>293.81818181818176</v>
      </c>
      <c r="J13" s="562"/>
      <c r="K13" s="326"/>
      <c r="L13" s="326"/>
      <c r="M13" s="326"/>
      <c r="N13" s="326"/>
      <c r="O13" s="326"/>
    </row>
    <row r="14" spans="2:15" ht="15.75" thickBot="1">
      <c r="B14" s="783" t="s">
        <v>254</v>
      </c>
      <c r="C14" s="784"/>
      <c r="D14" s="784"/>
      <c r="E14" s="563"/>
      <c r="F14" s="563">
        <f>ROUND(SUM(F11:F13),2)</f>
        <v>24.48</v>
      </c>
      <c r="G14" s="563">
        <f>ROUND(SUM(G11:G13),2)</f>
        <v>260.09</v>
      </c>
      <c r="H14" s="563">
        <f>ROUND(SUM(H11:H13),2)</f>
        <v>0</v>
      </c>
      <c r="I14" s="563">
        <f>ROUND(SUM(I11:I13),2)</f>
        <v>420.55</v>
      </c>
      <c r="J14" s="564">
        <f>ROUND(SUM(J11:J13),2)</f>
        <v>649.45</v>
      </c>
      <c r="K14" s="326"/>
      <c r="L14" s="326"/>
      <c r="M14" s="326"/>
      <c r="N14" s="326"/>
      <c r="O14" s="326"/>
    </row>
    <row r="15" spans="2:15" ht="15.75" thickBot="1">
      <c r="B15" s="798" t="s">
        <v>335</v>
      </c>
      <c r="C15" s="799"/>
      <c r="D15" s="800"/>
      <c r="E15" s="563" t="s">
        <v>361</v>
      </c>
      <c r="F15" s="825">
        <f>F14/2</f>
        <v>12.24</v>
      </c>
      <c r="G15" s="825">
        <f>G14/2</f>
        <v>130.045</v>
      </c>
      <c r="H15" s="825">
        <f>H14</f>
        <v>0</v>
      </c>
      <c r="I15" s="825">
        <f>I14/2</f>
        <v>210.275</v>
      </c>
      <c r="J15" s="822">
        <f>J14/2</f>
        <v>324.725</v>
      </c>
      <c r="K15" s="326"/>
      <c r="L15" s="326"/>
      <c r="M15" s="326"/>
      <c r="N15" s="326"/>
      <c r="O15" s="326"/>
    </row>
    <row r="16" spans="2:15" ht="15.75" thickBot="1">
      <c r="B16" s="801"/>
      <c r="C16" s="802"/>
      <c r="D16" s="803"/>
      <c r="E16" s="330">
        <f>E11/2</f>
        <v>49.83</v>
      </c>
      <c r="F16" s="807"/>
      <c r="G16" s="807"/>
      <c r="H16" s="807"/>
      <c r="I16" s="807"/>
      <c r="J16" s="823"/>
      <c r="K16" s="326"/>
      <c r="L16" s="326"/>
      <c r="M16" s="326"/>
      <c r="N16" s="326"/>
      <c r="O16" s="326"/>
    </row>
    <row r="17" spans="2:15" ht="15.75" thickBot="1">
      <c r="B17" s="801"/>
      <c r="C17" s="802"/>
      <c r="D17" s="803"/>
      <c r="E17" s="563" t="s">
        <v>362</v>
      </c>
      <c r="F17" s="807"/>
      <c r="G17" s="807"/>
      <c r="H17" s="807"/>
      <c r="I17" s="807"/>
      <c r="J17" s="823"/>
      <c r="K17" s="326"/>
      <c r="L17" s="326"/>
      <c r="M17" s="326"/>
      <c r="N17" s="326"/>
      <c r="O17" s="326"/>
    </row>
    <row r="18" spans="2:15" ht="15.75" thickBot="1">
      <c r="B18" s="804"/>
      <c r="C18" s="805"/>
      <c r="D18" s="806"/>
      <c r="E18" s="330">
        <f>(E12+E13)/2</f>
        <v>93.11500000000001</v>
      </c>
      <c r="F18" s="808"/>
      <c r="G18" s="808"/>
      <c r="H18" s="808"/>
      <c r="I18" s="808"/>
      <c r="J18" s="824"/>
      <c r="K18" s="326"/>
      <c r="L18" s="326"/>
      <c r="M18" s="326"/>
      <c r="N18" s="326"/>
      <c r="O18" s="326"/>
    </row>
    <row r="19" spans="5:15" ht="15">
      <c r="E19" s="327"/>
      <c r="K19" s="326"/>
      <c r="L19" s="326"/>
      <c r="M19" s="326"/>
      <c r="N19" s="326"/>
      <c r="O19" s="326"/>
    </row>
    <row r="20" spans="2:15" ht="16.5" thickBot="1">
      <c r="B20" s="325"/>
      <c r="C20" s="326"/>
      <c r="D20" s="326"/>
      <c r="E20" s="328"/>
      <c r="F20" s="326"/>
      <c r="G20" s="326"/>
      <c r="H20" s="326"/>
      <c r="I20" s="326"/>
      <c r="J20" s="326"/>
      <c r="K20" s="326"/>
      <c r="L20" s="326"/>
      <c r="M20" s="326"/>
      <c r="N20" s="326"/>
      <c r="O20" s="326"/>
    </row>
    <row r="21" spans="2:15" ht="15.75" thickBot="1">
      <c r="B21" s="786" t="s">
        <v>255</v>
      </c>
      <c r="C21" s="787"/>
      <c r="D21" s="787"/>
      <c r="E21" s="787"/>
      <c r="F21" s="787"/>
      <c r="G21" s="787"/>
      <c r="H21" s="787"/>
      <c r="I21" s="787"/>
      <c r="J21" s="788"/>
      <c r="K21" s="326"/>
      <c r="L21" s="326"/>
      <c r="M21" s="326"/>
      <c r="N21" s="326"/>
      <c r="O21" s="326"/>
    </row>
    <row r="22" spans="2:15" ht="15">
      <c r="B22" s="764" t="s">
        <v>243</v>
      </c>
      <c r="C22" s="765"/>
      <c r="D22" s="765"/>
      <c r="E22" s="768" t="s">
        <v>244</v>
      </c>
      <c r="F22" s="769"/>
      <c r="G22" s="769"/>
      <c r="H22" s="769"/>
      <c r="I22" s="769"/>
      <c r="J22" s="770"/>
      <c r="K22" s="326"/>
      <c r="L22" s="326"/>
      <c r="M22" s="326"/>
      <c r="N22" s="326"/>
      <c r="O22" s="326"/>
    </row>
    <row r="23" spans="2:15" ht="15">
      <c r="B23" s="766"/>
      <c r="C23" s="767"/>
      <c r="D23" s="767"/>
      <c r="E23" s="772" t="s">
        <v>245</v>
      </c>
      <c r="F23" s="329" t="s">
        <v>79</v>
      </c>
      <c r="G23" s="522" t="s">
        <v>246</v>
      </c>
      <c r="H23" s="773" t="s">
        <v>247</v>
      </c>
      <c r="I23" s="773"/>
      <c r="J23" s="774"/>
      <c r="K23" s="326"/>
      <c r="L23" s="326"/>
      <c r="M23" s="326"/>
      <c r="N23" s="326"/>
      <c r="O23" s="326"/>
    </row>
    <row r="24" spans="2:15" ht="15">
      <c r="B24" s="766"/>
      <c r="C24" s="767"/>
      <c r="D24" s="767"/>
      <c r="E24" s="772"/>
      <c r="F24" s="772" t="s">
        <v>261</v>
      </c>
      <c r="G24" s="772" t="s">
        <v>248</v>
      </c>
      <c r="H24" s="772" t="s">
        <v>249</v>
      </c>
      <c r="I24" s="772" t="s">
        <v>250</v>
      </c>
      <c r="J24" s="771" t="s">
        <v>251</v>
      </c>
      <c r="K24" s="326"/>
      <c r="L24" s="326"/>
      <c r="M24" s="326"/>
      <c r="N24" s="326"/>
      <c r="O24" s="326"/>
    </row>
    <row r="25" spans="2:15" ht="15">
      <c r="B25" s="766"/>
      <c r="C25" s="767"/>
      <c r="D25" s="767"/>
      <c r="E25" s="772"/>
      <c r="F25" s="772" t="s">
        <v>74</v>
      </c>
      <c r="G25" s="772" t="s">
        <v>73</v>
      </c>
      <c r="H25" s="772" t="s">
        <v>73</v>
      </c>
      <c r="I25" s="772" t="s">
        <v>73</v>
      </c>
      <c r="J25" s="771" t="s">
        <v>73</v>
      </c>
      <c r="K25" s="326"/>
      <c r="L25" s="326"/>
      <c r="M25" s="326"/>
      <c r="N25" s="326"/>
      <c r="O25" s="326"/>
    </row>
    <row r="26" spans="2:15" ht="15">
      <c r="B26" s="796" t="s">
        <v>256</v>
      </c>
      <c r="C26" s="797"/>
      <c r="D26" s="797"/>
      <c r="E26" s="557">
        <f>64.77+68.63+46</f>
        <v>179.39999999999998</v>
      </c>
      <c r="F26" s="557">
        <f>3.24+3.6+2.3</f>
        <v>9.14</v>
      </c>
      <c r="G26" s="557">
        <f>(90.7+98.7+64.4)/1.1</f>
        <v>230.72727272727272</v>
      </c>
      <c r="H26" s="558"/>
      <c r="I26" s="557"/>
      <c r="J26" s="565">
        <f>(264.7+275.4+208.2)/1.1</f>
        <v>680.2727272727271</v>
      </c>
      <c r="K26" s="326"/>
      <c r="L26" s="326"/>
      <c r="M26" s="326"/>
      <c r="N26" s="326"/>
      <c r="O26" s="326"/>
    </row>
    <row r="27" spans="2:15" ht="15">
      <c r="B27" s="780" t="s">
        <v>257</v>
      </c>
      <c r="C27" s="781"/>
      <c r="D27" s="782"/>
      <c r="E27" s="557">
        <v>129.14</v>
      </c>
      <c r="F27" s="557">
        <v>7.94</v>
      </c>
      <c r="G27" s="557">
        <f>125.2/1.1</f>
        <v>113.81818181818181</v>
      </c>
      <c r="H27" s="558"/>
      <c r="I27" s="557">
        <f>303.8/1.1</f>
        <v>276.1818181818182</v>
      </c>
      <c r="J27" s="565"/>
      <c r="K27" s="326"/>
      <c r="L27" s="326"/>
      <c r="M27" s="326"/>
      <c r="N27" s="326"/>
      <c r="O27" s="326"/>
    </row>
    <row r="28" spans="2:15" ht="15">
      <c r="B28" s="780" t="s">
        <v>333</v>
      </c>
      <c r="C28" s="781"/>
      <c r="D28" s="782"/>
      <c r="E28" s="557">
        <v>55.84</v>
      </c>
      <c r="F28" s="557">
        <v>3.35</v>
      </c>
      <c r="G28" s="557">
        <f>65/1.1</f>
        <v>59.090909090909086</v>
      </c>
      <c r="H28" s="558"/>
      <c r="I28" s="557">
        <f>126.3/1.1</f>
        <v>114.81818181818181</v>
      </c>
      <c r="J28" s="565"/>
      <c r="K28" s="326"/>
      <c r="L28" s="326"/>
      <c r="M28" s="326"/>
      <c r="N28" s="326"/>
      <c r="O28" s="326"/>
    </row>
    <row r="29" spans="2:15" ht="15">
      <c r="B29" s="780" t="s">
        <v>332</v>
      </c>
      <c r="C29" s="781"/>
      <c r="D29" s="782"/>
      <c r="E29" s="557">
        <v>12.23</v>
      </c>
      <c r="F29" s="557">
        <v>0.73</v>
      </c>
      <c r="G29" s="557">
        <f>13.7/1.1</f>
        <v>12.454545454545453</v>
      </c>
      <c r="H29" s="558"/>
      <c r="I29" s="557">
        <f>29.6/1.1</f>
        <v>26.909090909090907</v>
      </c>
      <c r="J29" s="565"/>
      <c r="K29" s="326"/>
      <c r="L29" s="326"/>
      <c r="M29" s="326"/>
      <c r="N29" s="326"/>
      <c r="O29" s="326"/>
    </row>
    <row r="30" spans="2:15" ht="15.75" thickBot="1">
      <c r="B30" s="793" t="s">
        <v>262</v>
      </c>
      <c r="C30" s="794"/>
      <c r="D30" s="795"/>
      <c r="E30" s="557"/>
      <c r="F30" s="557"/>
      <c r="G30" s="557"/>
      <c r="H30" s="558"/>
      <c r="I30" s="557"/>
      <c r="J30" s="565">
        <f>8.3/1.1</f>
        <v>7.545454545454546</v>
      </c>
      <c r="K30" s="326"/>
      <c r="L30" s="326"/>
      <c r="M30" s="326"/>
      <c r="N30" s="326"/>
      <c r="O30" s="326"/>
    </row>
    <row r="31" spans="2:15" ht="15.75" thickBot="1">
      <c r="B31" s="783" t="s">
        <v>258</v>
      </c>
      <c r="C31" s="784"/>
      <c r="D31" s="785"/>
      <c r="E31" s="664"/>
      <c r="F31" s="563">
        <f>ROUND(SUM(F26:F30),2)</f>
        <v>21.16</v>
      </c>
      <c r="G31" s="563">
        <f>ROUND(SUM(G26:G30),2)</f>
        <v>416.09</v>
      </c>
      <c r="H31" s="563">
        <f>ROUND(SUM(H26:H30),2)</f>
        <v>0</v>
      </c>
      <c r="I31" s="563">
        <f>ROUND(SUM(I26:I30),2)</f>
        <v>417.91</v>
      </c>
      <c r="J31" s="564">
        <f>ROUND(SUM(J26:J30),2)</f>
        <v>687.82</v>
      </c>
      <c r="K31" s="326"/>
      <c r="L31" s="326"/>
      <c r="M31" s="326"/>
      <c r="N31" s="326"/>
      <c r="O31" s="326"/>
    </row>
    <row r="32" spans="2:15" ht="15">
      <c r="B32" s="801" t="s">
        <v>336</v>
      </c>
      <c r="C32" s="802"/>
      <c r="D32" s="802"/>
      <c r="E32" s="663" t="s">
        <v>364</v>
      </c>
      <c r="F32" s="809">
        <f>F31/2</f>
        <v>10.58</v>
      </c>
      <c r="G32" s="807">
        <f>G31/2</f>
        <v>208.045</v>
      </c>
      <c r="H32" s="807">
        <f>H31</f>
        <v>0</v>
      </c>
      <c r="I32" s="826">
        <f>I31/2</f>
        <v>208.955</v>
      </c>
      <c r="J32" s="663" t="s">
        <v>256</v>
      </c>
      <c r="K32" s="326"/>
      <c r="L32" s="326"/>
      <c r="M32" s="326"/>
      <c r="N32" s="326"/>
      <c r="O32" s="326"/>
    </row>
    <row r="33" spans="2:15" ht="15">
      <c r="B33" s="801"/>
      <c r="C33" s="802"/>
      <c r="D33" s="803"/>
      <c r="E33" s="642">
        <f>E26/2</f>
        <v>89.69999999999999</v>
      </c>
      <c r="F33" s="807"/>
      <c r="G33" s="807"/>
      <c r="H33" s="807"/>
      <c r="I33" s="807"/>
      <c r="J33" s="588">
        <f>J26/2</f>
        <v>340.13636363636357</v>
      </c>
      <c r="K33" s="326"/>
      <c r="L33" s="326"/>
      <c r="M33" s="326"/>
      <c r="N33" s="326"/>
      <c r="O33" s="326"/>
    </row>
    <row r="34" spans="2:15" ht="15">
      <c r="B34" s="801"/>
      <c r="C34" s="802"/>
      <c r="D34" s="802"/>
      <c r="E34" s="662" t="s">
        <v>362</v>
      </c>
      <c r="F34" s="809"/>
      <c r="G34" s="807"/>
      <c r="H34" s="807"/>
      <c r="I34" s="826"/>
      <c r="J34" s="662" t="s">
        <v>365</v>
      </c>
      <c r="K34" s="326"/>
      <c r="L34" s="326"/>
      <c r="M34" s="326"/>
      <c r="N34" s="326"/>
      <c r="O34" s="326"/>
    </row>
    <row r="35" spans="2:15" ht="15.75" thickBot="1">
      <c r="B35" s="804"/>
      <c r="C35" s="805"/>
      <c r="D35" s="806"/>
      <c r="E35" s="643">
        <f>(E27+E28+E29)/2</f>
        <v>98.60499999999999</v>
      </c>
      <c r="F35" s="808"/>
      <c r="G35" s="808"/>
      <c r="H35" s="808"/>
      <c r="I35" s="808"/>
      <c r="J35" s="589">
        <f>J30/2</f>
        <v>3.772727272727273</v>
      </c>
      <c r="K35" s="326"/>
      <c r="L35" s="326"/>
      <c r="M35" s="326"/>
      <c r="N35" s="326"/>
      <c r="O35" s="326"/>
    </row>
    <row r="36" spans="2:15" ht="15">
      <c r="B36" s="444"/>
      <c r="C36" s="444"/>
      <c r="D36" s="326"/>
      <c r="E36" s="327"/>
      <c r="F36" s="326"/>
      <c r="G36" s="326"/>
      <c r="H36" s="326"/>
      <c r="I36" s="326"/>
      <c r="J36" s="326"/>
      <c r="K36" s="326"/>
      <c r="L36" s="326"/>
      <c r="M36" s="326"/>
      <c r="N36" s="326"/>
      <c r="O36" s="326"/>
    </row>
    <row r="37" spans="2:15" ht="15">
      <c r="B37" s="778" t="s">
        <v>224</v>
      </c>
      <c r="C37" s="779"/>
      <c r="D37" s="779"/>
      <c r="E37" s="779"/>
      <c r="F37" s="779"/>
      <c r="G37" s="779"/>
      <c r="H37" s="779"/>
      <c r="I37" s="779"/>
      <c r="J37" s="779"/>
      <c r="K37" s="779"/>
      <c r="L37" s="326"/>
      <c r="M37" s="326"/>
      <c r="N37" s="326"/>
      <c r="O37" s="326"/>
    </row>
    <row r="38" spans="2:15" ht="15.75" thickBot="1">
      <c r="B38" s="444"/>
      <c r="C38" s="444"/>
      <c r="D38" s="326"/>
      <c r="E38" s="327"/>
      <c r="F38" s="326"/>
      <c r="G38" s="326"/>
      <c r="H38" s="326"/>
      <c r="I38" s="326"/>
      <c r="J38" s="326"/>
      <c r="K38" s="326"/>
      <c r="L38" s="326"/>
      <c r="M38" s="326"/>
      <c r="N38" s="326"/>
      <c r="O38" s="326"/>
    </row>
    <row r="39" spans="2:15" ht="19.5" thickBot="1">
      <c r="B39" s="325"/>
      <c r="C39" s="326"/>
      <c r="D39" s="816" t="s">
        <v>231</v>
      </c>
      <c r="E39" s="817"/>
      <c r="F39" s="817"/>
      <c r="G39" s="818"/>
      <c r="H39" s="326"/>
      <c r="I39" s="326"/>
      <c r="J39" s="326"/>
      <c r="K39" s="326"/>
      <c r="L39" s="326"/>
      <c r="M39" s="326"/>
      <c r="N39" s="326"/>
      <c r="O39" s="326"/>
    </row>
    <row r="40" spans="2:15" ht="19.5" thickBot="1">
      <c r="B40" s="325"/>
      <c r="C40" s="326"/>
      <c r="D40" s="819" t="s">
        <v>192</v>
      </c>
      <c r="E40" s="820"/>
      <c r="F40" s="820"/>
      <c r="G40" s="821"/>
      <c r="H40" s="326"/>
      <c r="I40" s="326"/>
      <c r="J40" s="326"/>
      <c r="K40" s="326"/>
      <c r="L40" s="326"/>
      <c r="M40" s="326"/>
      <c r="N40" s="326"/>
      <c r="O40" s="326"/>
    </row>
    <row r="41" spans="2:15" ht="15.75">
      <c r="B41" s="325"/>
      <c r="C41" s="326"/>
      <c r="D41" s="153" t="s">
        <v>163</v>
      </c>
      <c r="E41" s="460" t="s">
        <v>156</v>
      </c>
      <c r="F41" s="552" t="s">
        <v>162</v>
      </c>
      <c r="G41" s="552" t="s">
        <v>421</v>
      </c>
      <c r="H41" s="326"/>
      <c r="I41" s="326"/>
      <c r="J41" s="326"/>
      <c r="K41" s="326"/>
      <c r="L41" s="326"/>
      <c r="M41" s="326"/>
      <c r="N41" s="326"/>
      <c r="O41" s="326"/>
    </row>
    <row r="42" spans="2:15" ht="16.5" thickBot="1">
      <c r="B42" s="325"/>
      <c r="C42" s="326"/>
      <c r="D42" s="478" t="s">
        <v>113</v>
      </c>
      <c r="E42" s="481" t="s">
        <v>112</v>
      </c>
      <c r="F42" s="553" t="s">
        <v>161</v>
      </c>
      <c r="G42" s="656" t="s">
        <v>422</v>
      </c>
      <c r="H42" s="326"/>
      <c r="I42" s="326"/>
      <c r="J42" s="326"/>
      <c r="K42" s="326"/>
      <c r="L42" s="326"/>
      <c r="M42" s="326"/>
      <c r="N42" s="326"/>
      <c r="O42" s="326"/>
    </row>
    <row r="43" spans="2:15" ht="15.75">
      <c r="B43" s="325"/>
      <c r="C43" s="326"/>
      <c r="D43" s="152" t="s">
        <v>334</v>
      </c>
      <c r="E43" s="480">
        <v>0.12</v>
      </c>
      <c r="F43" s="654">
        <v>117.62</v>
      </c>
      <c r="G43" s="655">
        <f>F43/2</f>
        <v>58.81</v>
      </c>
      <c r="H43" s="326"/>
      <c r="I43" s="326"/>
      <c r="J43" s="326"/>
      <c r="K43" s="326"/>
      <c r="L43" s="326"/>
      <c r="M43" s="326"/>
      <c r="N43" s="326"/>
      <c r="O43" s="326"/>
    </row>
    <row r="44" spans="2:15" ht="16.5" thickBot="1">
      <c r="B44" s="325"/>
      <c r="C44" s="326"/>
      <c r="D44" s="657" t="s">
        <v>334</v>
      </c>
      <c r="E44" s="658">
        <v>0.16</v>
      </c>
      <c r="F44" s="659">
        <v>62.82</v>
      </c>
      <c r="G44" s="660">
        <f>F44/2</f>
        <v>31.41</v>
      </c>
      <c r="H44" s="326"/>
      <c r="I44" s="326"/>
      <c r="J44" s="326"/>
      <c r="K44" s="326"/>
      <c r="L44" s="326"/>
      <c r="M44" s="326"/>
      <c r="N44" s="326"/>
      <c r="O44" s="665"/>
    </row>
    <row r="45" spans="2:15" ht="16.5" thickBot="1">
      <c r="B45" s="325"/>
      <c r="C45" s="326"/>
      <c r="D45" s="776" t="s">
        <v>337</v>
      </c>
      <c r="E45" s="777"/>
      <c r="F45" s="661">
        <f>SUBTOTAL(9,F43:F44)</f>
        <v>180.44</v>
      </c>
      <c r="G45" s="666">
        <f>F45/2</f>
        <v>90.22</v>
      </c>
      <c r="H45" s="326"/>
      <c r="I45" s="326"/>
      <c r="J45" s="326"/>
      <c r="K45" s="326"/>
      <c r="L45" s="326"/>
      <c r="M45" s="326"/>
      <c r="N45" s="326"/>
      <c r="O45" s="326"/>
    </row>
    <row r="46" spans="2:15" ht="15.75">
      <c r="B46" s="325"/>
      <c r="C46" s="326"/>
      <c r="D46" s="326"/>
      <c r="E46" s="327"/>
      <c r="F46" s="326"/>
      <c r="G46" s="326"/>
      <c r="H46" s="326"/>
      <c r="I46" s="326"/>
      <c r="J46" s="326"/>
      <c r="K46" s="326"/>
      <c r="L46" s="326"/>
      <c r="M46" s="326"/>
      <c r="N46" s="326"/>
      <c r="O46" s="326"/>
    </row>
    <row r="47" spans="2:15" ht="15.75">
      <c r="B47" s="325"/>
      <c r="C47" s="326"/>
      <c r="D47" s="326"/>
      <c r="E47" s="327"/>
      <c r="F47" s="326"/>
      <c r="G47" s="326"/>
      <c r="H47" s="326"/>
      <c r="I47" s="326"/>
      <c r="J47" s="326"/>
      <c r="K47" s="326"/>
      <c r="L47" s="326"/>
      <c r="M47" s="326"/>
      <c r="N47" s="326"/>
      <c r="O47" s="326"/>
    </row>
    <row r="48" spans="2:15" ht="15.75" thickBot="1">
      <c r="B48"/>
      <c r="C48"/>
      <c r="D48"/>
      <c r="E48"/>
      <c r="F48"/>
      <c r="G48" s="326"/>
      <c r="H48" s="326"/>
      <c r="I48" s="326"/>
      <c r="J48" s="326"/>
      <c r="K48" s="326"/>
      <c r="L48" s="326"/>
      <c r="M48" s="326"/>
      <c r="N48" s="326"/>
      <c r="O48" s="326"/>
    </row>
    <row r="49" spans="2:10" ht="15.75">
      <c r="B49" s="810" t="s">
        <v>300</v>
      </c>
      <c r="C49" s="811"/>
      <c r="D49" s="811"/>
      <c r="E49" s="811"/>
      <c r="F49" s="811"/>
      <c r="G49" s="811"/>
      <c r="H49" s="811"/>
      <c r="I49" s="811"/>
      <c r="J49" s="812"/>
    </row>
    <row r="50" spans="2:12" ht="15.75" thickBot="1">
      <c r="B50" s="813" t="s">
        <v>301</v>
      </c>
      <c r="C50" s="814"/>
      <c r="D50" s="814"/>
      <c r="E50" s="814"/>
      <c r="F50" s="814"/>
      <c r="G50" s="814"/>
      <c r="H50" s="814"/>
      <c r="I50" s="814"/>
      <c r="J50" s="815"/>
      <c r="L50" s="135"/>
    </row>
    <row r="52" s="134" customFormat="1" ht="15"/>
    <row r="53" s="134" customFormat="1" ht="15"/>
    <row r="54" s="134" customFormat="1" ht="15"/>
    <row r="55" s="134" customFormat="1" ht="15"/>
    <row r="56" s="134" customFormat="1" ht="15"/>
    <row r="57" spans="2:7" ht="15">
      <c r="B57" s="775"/>
      <c r="C57" s="775"/>
      <c r="D57" s="775"/>
      <c r="E57" s="775"/>
      <c r="F57" s="775"/>
      <c r="G57" s="775"/>
    </row>
    <row r="67" ht="15">
      <c r="H67" s="133">
        <v>12</v>
      </c>
    </row>
    <row r="68" spans="8:10" ht="15">
      <c r="H68" s="133">
        <v>3</v>
      </c>
      <c r="J68" s="205">
        <f>H67/H68</f>
        <v>4</v>
      </c>
    </row>
    <row r="69" ht="15">
      <c r="J69" s="205"/>
    </row>
    <row r="70" ht="15">
      <c r="J70" s="205">
        <f>H68/H67</f>
        <v>0.25</v>
      </c>
    </row>
  </sheetData>
  <sheetProtection/>
  <mergeCells count="52">
    <mergeCell ref="B49:J49"/>
    <mergeCell ref="B50:J50"/>
    <mergeCell ref="D39:G39"/>
    <mergeCell ref="D40:G40"/>
    <mergeCell ref="J15:J18"/>
    <mergeCell ref="I15:I18"/>
    <mergeCell ref="H15:H18"/>
    <mergeCell ref="G15:G18"/>
    <mergeCell ref="F15:F18"/>
    <mergeCell ref="I32:I35"/>
    <mergeCell ref="H32:H35"/>
    <mergeCell ref="G32:G35"/>
    <mergeCell ref="F32:F35"/>
    <mergeCell ref="B29:D29"/>
    <mergeCell ref="B31:D31"/>
    <mergeCell ref="B32:D35"/>
    <mergeCell ref="G9:G10"/>
    <mergeCell ref="B30:D30"/>
    <mergeCell ref="F24:F25"/>
    <mergeCell ref="B12:D12"/>
    <mergeCell ref="B26:D26"/>
    <mergeCell ref="B15:D18"/>
    <mergeCell ref="B6:J6"/>
    <mergeCell ref="H9:H10"/>
    <mergeCell ref="G24:G25"/>
    <mergeCell ref="H24:H25"/>
    <mergeCell ref="I24:I25"/>
    <mergeCell ref="J24:J25"/>
    <mergeCell ref="B11:D11"/>
    <mergeCell ref="B13:D13"/>
    <mergeCell ref="B14:D14"/>
    <mergeCell ref="B21:J21"/>
    <mergeCell ref="B57:G57"/>
    <mergeCell ref="D45:E45"/>
    <mergeCell ref="B37:K37"/>
    <mergeCell ref="B22:D25"/>
    <mergeCell ref="E22:J22"/>
    <mergeCell ref="E23:E25"/>
    <mergeCell ref="H23:J23"/>
    <mergeCell ref="B28:D28"/>
    <mergeCell ref="B27:D27"/>
    <mergeCell ref="B1:J1"/>
    <mergeCell ref="B2:J2"/>
    <mergeCell ref="B4:J4"/>
    <mergeCell ref="B7:D10"/>
    <mergeCell ref="E7:J7"/>
    <mergeCell ref="J9:J10"/>
    <mergeCell ref="E8:E10"/>
    <mergeCell ref="H8:J8"/>
    <mergeCell ref="I9:I10"/>
    <mergeCell ref="F9:F10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78" r:id="rId1"/>
  <headerFoot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S22"/>
  <sheetViews>
    <sheetView view="pageBreakPreview" zoomScale="140" zoomScaleNormal="170" zoomScaleSheetLayoutView="140" zoomScalePageLayoutView="0" workbookViewId="0" topLeftCell="A1">
      <selection activeCell="E22" sqref="E22"/>
    </sheetView>
  </sheetViews>
  <sheetFormatPr defaultColWidth="9.140625" defaultRowHeight="12.75"/>
  <cols>
    <col min="1" max="1" width="14.00390625" style="29" customWidth="1"/>
    <col min="2" max="2" width="16.7109375" style="33" customWidth="1"/>
    <col min="3" max="4" width="15.7109375" style="33" customWidth="1"/>
    <col min="5" max="5" width="12.421875" style="33" customWidth="1"/>
    <col min="6" max="6" width="15.7109375" style="33" customWidth="1"/>
    <col min="7" max="7" width="11.421875" style="4" customWidth="1"/>
    <col min="8" max="8" width="11.421875" style="1" customWidth="1"/>
    <col min="9" max="13" width="11.421875" style="6" customWidth="1"/>
    <col min="14" max="19" width="9.140625" style="7" customWidth="1"/>
  </cols>
  <sheetData>
    <row r="1" ht="13.5" thickBot="1"/>
    <row r="2" spans="1:13" ht="19.5" customHeight="1" thickBot="1">
      <c r="A2" s="27"/>
      <c r="B2" s="829" t="s">
        <v>7</v>
      </c>
      <c r="C2" s="830"/>
      <c r="D2" s="830"/>
      <c r="E2" s="831"/>
      <c r="F2" s="832"/>
      <c r="I2" s="9"/>
      <c r="J2" s="9"/>
      <c r="K2" s="9"/>
      <c r="L2" s="9"/>
      <c r="M2" s="9"/>
    </row>
    <row r="3" spans="1:19" s="78" customFormat="1" ht="24.75" customHeight="1" thickBot="1">
      <c r="A3" s="155"/>
      <c r="B3" s="53" t="s">
        <v>24</v>
      </c>
      <c r="C3" s="54" t="s">
        <v>1</v>
      </c>
      <c r="D3" s="54" t="s">
        <v>2</v>
      </c>
      <c r="E3" s="154" t="s">
        <v>174</v>
      </c>
      <c r="F3" s="105" t="s">
        <v>6</v>
      </c>
      <c r="G3" s="90"/>
      <c r="H3" s="83"/>
      <c r="I3" s="156"/>
      <c r="J3" s="156"/>
      <c r="K3" s="156"/>
      <c r="L3" s="156"/>
      <c r="M3" s="156"/>
      <c r="N3" s="157"/>
      <c r="O3" s="157"/>
      <c r="P3" s="157"/>
      <c r="Q3" s="157"/>
      <c r="R3" s="157"/>
      <c r="S3" s="157"/>
    </row>
    <row r="4" spans="1:13" ht="15.75" customHeight="1">
      <c r="A4" s="27"/>
      <c r="B4" s="827"/>
      <c r="C4" s="828"/>
      <c r="D4" s="828"/>
      <c r="E4" s="828"/>
      <c r="F4" s="828"/>
      <c r="I4" s="9"/>
      <c r="J4" s="9"/>
      <c r="K4" s="9"/>
      <c r="L4" s="9"/>
      <c r="M4" s="9"/>
    </row>
    <row r="5" spans="1:10" ht="12.75">
      <c r="A5" s="30"/>
      <c r="B5" s="31" t="s">
        <v>181</v>
      </c>
      <c r="C5" s="31">
        <v>2.8</v>
      </c>
      <c r="D5" s="31">
        <v>3</v>
      </c>
      <c r="E5" s="833">
        <f>'ESQUADRIAS E VIDROS'!M26</f>
        <v>32.18000000000001</v>
      </c>
      <c r="F5" s="31">
        <f>D5*C5</f>
        <v>8.399999999999999</v>
      </c>
      <c r="I5" s="7"/>
      <c r="J5" s="12"/>
    </row>
    <row r="6" spans="1:10" ht="12.75">
      <c r="A6" s="30"/>
      <c r="B6" s="31" t="s">
        <v>181</v>
      </c>
      <c r="C6" s="31">
        <v>4.3</v>
      </c>
      <c r="D6" s="31">
        <v>3</v>
      </c>
      <c r="E6" s="834"/>
      <c r="F6" s="31">
        <f aca="true" t="shared" si="0" ref="F6:F21">D6*C6</f>
        <v>12.899999999999999</v>
      </c>
      <c r="I6" s="7"/>
      <c r="J6" s="12"/>
    </row>
    <row r="7" spans="1:10" ht="12.75">
      <c r="A7" s="30"/>
      <c r="B7" s="31" t="s">
        <v>181</v>
      </c>
      <c r="C7" s="31">
        <v>2.9</v>
      </c>
      <c r="D7" s="31">
        <v>3</v>
      </c>
      <c r="E7" s="834"/>
      <c r="F7" s="31">
        <f t="shared" si="0"/>
        <v>8.7</v>
      </c>
      <c r="I7" s="7"/>
      <c r="J7" s="12"/>
    </row>
    <row r="8" spans="1:10" ht="12.75">
      <c r="A8" s="30"/>
      <c r="B8" s="31" t="s">
        <v>181</v>
      </c>
      <c r="C8" s="31">
        <v>2.7</v>
      </c>
      <c r="D8" s="31">
        <v>3</v>
      </c>
      <c r="E8" s="834"/>
      <c r="F8" s="31">
        <f t="shared" si="0"/>
        <v>8.100000000000001</v>
      </c>
      <c r="I8" s="7"/>
      <c r="J8" s="12"/>
    </row>
    <row r="9" spans="1:10" ht="12.75">
      <c r="A9" s="30"/>
      <c r="B9" s="31" t="s">
        <v>181</v>
      </c>
      <c r="C9" s="31">
        <v>2.75</v>
      </c>
      <c r="D9" s="31">
        <v>3</v>
      </c>
      <c r="E9" s="834"/>
      <c r="F9" s="31">
        <f t="shared" si="0"/>
        <v>8.25</v>
      </c>
      <c r="I9" s="7"/>
      <c r="J9" s="12"/>
    </row>
    <row r="10" spans="1:10" ht="12.75">
      <c r="A10" s="30"/>
      <c r="B10" s="31" t="s">
        <v>181</v>
      </c>
      <c r="C10" s="31">
        <v>1.5</v>
      </c>
      <c r="D10" s="31">
        <v>3</v>
      </c>
      <c r="E10" s="834"/>
      <c r="F10" s="31">
        <f t="shared" si="0"/>
        <v>4.5</v>
      </c>
      <c r="I10" s="7"/>
      <c r="J10" s="12"/>
    </row>
    <row r="11" spans="1:10" ht="12.75">
      <c r="A11" s="30"/>
      <c r="B11" s="31" t="s">
        <v>181</v>
      </c>
      <c r="C11" s="31">
        <v>11.37</v>
      </c>
      <c r="D11" s="31">
        <v>3</v>
      </c>
      <c r="E11" s="834"/>
      <c r="F11" s="614">
        <f t="shared" si="0"/>
        <v>34.11</v>
      </c>
      <c r="I11" s="7"/>
      <c r="J11" s="12"/>
    </row>
    <row r="12" spans="1:10" ht="12.75">
      <c r="A12" s="30"/>
      <c r="B12" s="31" t="s">
        <v>181</v>
      </c>
      <c r="C12" s="31">
        <v>2.07</v>
      </c>
      <c r="D12" s="31">
        <v>3</v>
      </c>
      <c r="E12" s="834"/>
      <c r="F12" s="31">
        <f t="shared" si="0"/>
        <v>6.209999999999999</v>
      </c>
      <c r="I12" s="7"/>
      <c r="J12" s="12"/>
    </row>
    <row r="13" spans="1:10" ht="12.75">
      <c r="A13" s="30"/>
      <c r="B13" s="31" t="s">
        <v>181</v>
      </c>
      <c r="C13" s="31">
        <v>2.22</v>
      </c>
      <c r="D13" s="31">
        <v>3</v>
      </c>
      <c r="E13" s="834"/>
      <c r="F13" s="31">
        <f t="shared" si="0"/>
        <v>6.66</v>
      </c>
      <c r="I13" s="7"/>
      <c r="J13" s="12"/>
    </row>
    <row r="14" spans="1:10" ht="12.75">
      <c r="A14" s="30"/>
      <c r="B14" s="31" t="s">
        <v>218</v>
      </c>
      <c r="C14" s="31">
        <v>9.6</v>
      </c>
      <c r="D14" s="31">
        <v>3</v>
      </c>
      <c r="E14" s="834"/>
      <c r="F14" s="31">
        <f t="shared" si="0"/>
        <v>28.799999999999997</v>
      </c>
      <c r="H14" s="25"/>
      <c r="I14" s="7"/>
      <c r="J14" s="12"/>
    </row>
    <row r="15" spans="1:10" ht="12.75">
      <c r="A15" s="30"/>
      <c r="B15" s="31" t="s">
        <v>218</v>
      </c>
      <c r="C15" s="31">
        <v>1.8</v>
      </c>
      <c r="D15" s="31">
        <v>3</v>
      </c>
      <c r="E15" s="834"/>
      <c r="F15" s="31">
        <f t="shared" si="0"/>
        <v>5.4</v>
      </c>
      <c r="H15" s="25"/>
      <c r="I15" s="7"/>
      <c r="J15" s="12"/>
    </row>
    <row r="16" spans="1:10" ht="12.75">
      <c r="A16" s="30"/>
      <c r="B16" s="31" t="s">
        <v>218</v>
      </c>
      <c r="C16" s="31">
        <v>4.3</v>
      </c>
      <c r="D16" s="31">
        <v>3</v>
      </c>
      <c r="E16" s="834"/>
      <c r="F16" s="31">
        <f t="shared" si="0"/>
        <v>12.899999999999999</v>
      </c>
      <c r="H16" s="25"/>
      <c r="I16" s="14"/>
      <c r="J16" s="13"/>
    </row>
    <row r="17" spans="1:8" ht="12.75">
      <c r="A17" s="30"/>
      <c r="B17" s="31" t="s">
        <v>218</v>
      </c>
      <c r="C17" s="31">
        <v>4.3</v>
      </c>
      <c r="D17" s="31">
        <v>3</v>
      </c>
      <c r="E17" s="834"/>
      <c r="F17" s="31">
        <f t="shared" si="0"/>
        <v>12.899999999999999</v>
      </c>
      <c r="H17" s="25"/>
    </row>
    <row r="18" spans="1:8" ht="12.75">
      <c r="A18" s="30"/>
      <c r="B18" s="31" t="s">
        <v>218</v>
      </c>
      <c r="C18" s="31">
        <v>4.3</v>
      </c>
      <c r="D18" s="31">
        <v>3</v>
      </c>
      <c r="E18" s="834"/>
      <c r="F18" s="31">
        <f t="shared" si="0"/>
        <v>12.899999999999999</v>
      </c>
      <c r="H18" s="25"/>
    </row>
    <row r="19" spans="1:10" ht="12.75">
      <c r="A19" s="30"/>
      <c r="B19" s="31" t="s">
        <v>218</v>
      </c>
      <c r="C19" s="31">
        <v>4.3</v>
      </c>
      <c r="D19" s="31">
        <v>3</v>
      </c>
      <c r="E19" s="834"/>
      <c r="F19" s="31">
        <f t="shared" si="0"/>
        <v>12.899999999999999</v>
      </c>
      <c r="I19" s="7"/>
      <c r="J19" s="12"/>
    </row>
    <row r="20" spans="1:10" ht="12.75">
      <c r="A20" s="30"/>
      <c r="B20" s="31" t="s">
        <v>218</v>
      </c>
      <c r="C20" s="31">
        <v>4.3</v>
      </c>
      <c r="D20" s="31">
        <v>3</v>
      </c>
      <c r="E20" s="834"/>
      <c r="F20" s="31">
        <f t="shared" si="0"/>
        <v>12.899999999999999</v>
      </c>
      <c r="I20" s="7"/>
      <c r="J20" s="12"/>
    </row>
    <row r="21" spans="1:10" ht="12.75">
      <c r="A21" s="30"/>
      <c r="B21" s="31" t="s">
        <v>218</v>
      </c>
      <c r="C21" s="31">
        <v>1.85</v>
      </c>
      <c r="D21" s="31">
        <v>3</v>
      </c>
      <c r="E21" s="835"/>
      <c r="F21" s="31">
        <f t="shared" si="0"/>
        <v>5.550000000000001</v>
      </c>
      <c r="I21" s="7"/>
      <c r="J21" s="12"/>
    </row>
    <row r="22" spans="1:10" ht="12.75">
      <c r="A22" s="30"/>
      <c r="E22" s="288" t="s">
        <v>0</v>
      </c>
      <c r="F22" s="285">
        <f>SUM(F5:F21)-E5</f>
        <v>169.9</v>
      </c>
      <c r="H22" s="25"/>
      <c r="I22" s="7"/>
      <c r="J22" s="12"/>
    </row>
  </sheetData>
  <sheetProtection/>
  <mergeCells count="3">
    <mergeCell ref="B4:F4"/>
    <mergeCell ref="B2:F2"/>
    <mergeCell ref="E5:E2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95" r:id="rId1"/>
  <headerFooter>
    <oddFooter>&amp;RPágina &amp;P de &amp;N</oddFooter>
  </headerFooter>
  <rowBreaks count="1" manualBreakCount="1">
    <brk id="23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61"/>
  <sheetViews>
    <sheetView view="pageBreakPreview" zoomScaleSheetLayoutView="100" zoomScalePageLayoutView="0" workbookViewId="0" topLeftCell="A6">
      <selection activeCell="K45" sqref="K45"/>
    </sheetView>
  </sheetViews>
  <sheetFormatPr defaultColWidth="11.421875" defaultRowHeight="12.75"/>
  <cols>
    <col min="1" max="1" width="6.421875" style="6" customWidth="1"/>
    <col min="2" max="2" width="10.00390625" style="5" hidden="1" customWidth="1"/>
    <col min="3" max="3" width="14.00390625" style="5" hidden="1" customWidth="1"/>
    <col min="4" max="4" width="4.00390625" style="29" hidden="1" customWidth="1"/>
    <col min="5" max="5" width="11.421875" style="29" hidden="1" customWidth="1"/>
    <col min="6" max="6" width="12.421875" style="94" customWidth="1"/>
    <col min="7" max="7" width="14.57421875" style="30" customWidth="1"/>
    <col min="8" max="10" width="17.421875" style="30" customWidth="1"/>
    <col min="11" max="11" width="19.28125" style="30" customWidth="1"/>
    <col min="12" max="12" width="11.140625" style="158" customWidth="1"/>
    <col min="13" max="13" width="9.8515625" style="1" customWidth="1"/>
    <col min="14" max="14" width="8.8515625" style="182" customWidth="1"/>
    <col min="15" max="16" width="11.421875" style="29" customWidth="1"/>
    <col min="17" max="18" width="11.421875" style="1" customWidth="1"/>
    <col min="19" max="20" width="11.421875" style="6" customWidth="1"/>
    <col min="21" max="16384" width="11.421875" style="1" customWidth="1"/>
  </cols>
  <sheetData>
    <row r="1" ht="19.5">
      <c r="C1" s="8"/>
    </row>
    <row r="2" spans="1:4" ht="19.5">
      <c r="A2" s="886"/>
      <c r="B2" s="886"/>
      <c r="C2" s="886"/>
      <c r="D2" s="886"/>
    </row>
    <row r="3" spans="1:20" ht="15.75">
      <c r="A3" s="15"/>
      <c r="B3" s="15"/>
      <c r="C3" s="15"/>
      <c r="D3" s="28"/>
      <c r="G3" s="887"/>
      <c r="H3" s="887"/>
      <c r="I3" s="887"/>
      <c r="J3" s="887"/>
      <c r="K3" s="887"/>
      <c r="L3" s="887"/>
      <c r="M3" s="887"/>
      <c r="N3" s="887"/>
      <c r="O3" s="887"/>
      <c r="P3" s="887"/>
      <c r="S3" s="1"/>
      <c r="T3" s="1"/>
    </row>
    <row r="4" spans="1:20" ht="19.5">
      <c r="A4" s="7"/>
      <c r="B4" s="25"/>
      <c r="C4" s="27"/>
      <c r="D4" s="50"/>
      <c r="E4" s="50"/>
      <c r="F4" s="34"/>
      <c r="G4" s="50"/>
      <c r="H4" s="50"/>
      <c r="I4" s="50"/>
      <c r="J4" s="50"/>
      <c r="K4" s="50"/>
      <c r="L4" s="50"/>
      <c r="M4" s="50"/>
      <c r="O4" s="26"/>
      <c r="P4" s="888"/>
      <c r="Q4" s="888"/>
      <c r="R4" s="888"/>
      <c r="S4" s="888"/>
      <c r="T4" s="888"/>
    </row>
    <row r="5" spans="1:20" ht="19.5">
      <c r="A5" s="7"/>
      <c r="B5" s="25"/>
      <c r="C5" s="27"/>
      <c r="D5" s="34"/>
      <c r="E5" s="34"/>
      <c r="F5" s="95"/>
      <c r="G5" s="25"/>
      <c r="H5" s="25"/>
      <c r="I5" s="25"/>
      <c r="J5" s="25"/>
      <c r="K5" s="25"/>
      <c r="L5" s="25"/>
      <c r="M5" s="25"/>
      <c r="O5" s="26"/>
      <c r="P5" s="888"/>
      <c r="Q5" s="888"/>
      <c r="R5" s="888"/>
      <c r="S5" s="888"/>
      <c r="T5" s="888"/>
    </row>
    <row r="6" spans="1:15" ht="19.5">
      <c r="A6" s="886"/>
      <c r="B6" s="886"/>
      <c r="C6" s="6"/>
      <c r="D6" s="25"/>
      <c r="G6" s="889" t="s">
        <v>296</v>
      </c>
      <c r="H6" s="890"/>
      <c r="I6" s="890"/>
      <c r="J6" s="890"/>
      <c r="K6" s="890"/>
      <c r="L6" s="890"/>
      <c r="M6" s="891"/>
      <c r="O6" s="49"/>
    </row>
    <row r="7" spans="1:20" s="4" customFormat="1" ht="20.25" thickBot="1">
      <c r="A7" s="11"/>
      <c r="B7" s="10"/>
      <c r="C7" s="10"/>
      <c r="D7" s="32"/>
      <c r="E7" s="32"/>
      <c r="F7" s="92"/>
      <c r="G7" s="20"/>
      <c r="H7" s="20"/>
      <c r="I7" s="20"/>
      <c r="J7" s="20"/>
      <c r="K7" s="20"/>
      <c r="L7" s="164"/>
      <c r="M7" s="164"/>
      <c r="N7" s="182"/>
      <c r="O7" s="32"/>
      <c r="P7" s="32"/>
      <c r="S7" s="11"/>
      <c r="T7" s="11"/>
    </row>
    <row r="8" spans="1:20" s="4" customFormat="1" ht="20.25" thickBot="1">
      <c r="A8" s="11"/>
      <c r="B8" s="10"/>
      <c r="C8" s="10"/>
      <c r="D8" s="32"/>
      <c r="E8" s="32"/>
      <c r="F8" s="92"/>
      <c r="G8" s="883" t="s">
        <v>10</v>
      </c>
      <c r="H8" s="884"/>
      <c r="I8" s="884"/>
      <c r="J8" s="884"/>
      <c r="K8" s="884"/>
      <c r="L8" s="884"/>
      <c r="M8" s="885"/>
      <c r="N8" s="183"/>
      <c r="O8" s="49"/>
      <c r="P8" s="32"/>
      <c r="S8" s="11"/>
      <c r="T8" s="11"/>
    </row>
    <row r="9" spans="1:20" s="20" customFormat="1" ht="13.5" customHeight="1">
      <c r="A9" s="11"/>
      <c r="B9" s="10"/>
      <c r="C9" s="10"/>
      <c r="D9" s="32"/>
      <c r="E9" s="35"/>
      <c r="F9" s="92"/>
      <c r="G9" s="855" t="s">
        <v>282</v>
      </c>
      <c r="H9" s="856"/>
      <c r="I9" s="856"/>
      <c r="J9" s="856"/>
      <c r="K9" s="856"/>
      <c r="L9" s="856"/>
      <c r="M9" s="857"/>
      <c r="N9" s="184"/>
      <c r="O9" s="45"/>
      <c r="P9" s="164"/>
      <c r="S9" s="19"/>
      <c r="T9" s="19"/>
    </row>
    <row r="10" spans="1:20" s="23" customFormat="1" ht="12.75" customHeight="1" thickBot="1">
      <c r="A10" s="11"/>
      <c r="B10" s="10"/>
      <c r="C10" s="10"/>
      <c r="D10" s="32"/>
      <c r="E10" s="35"/>
      <c r="F10" s="47"/>
      <c r="G10" s="862"/>
      <c r="H10" s="863"/>
      <c r="I10" s="863"/>
      <c r="J10" s="863"/>
      <c r="K10" s="863"/>
      <c r="L10" s="863"/>
      <c r="M10" s="865"/>
      <c r="N10" s="184"/>
      <c r="O10" s="44"/>
      <c r="P10" s="181"/>
      <c r="S10" s="22"/>
      <c r="T10" s="22"/>
    </row>
    <row r="11" spans="1:20" s="23" customFormat="1" ht="11.25" customHeight="1">
      <c r="A11" s="11"/>
      <c r="B11" s="10"/>
      <c r="C11" s="10"/>
      <c r="D11" s="32"/>
      <c r="E11" s="35"/>
      <c r="F11" s="47"/>
      <c r="G11" s="36" t="s">
        <v>11</v>
      </c>
      <c r="H11" s="37" t="s">
        <v>12</v>
      </c>
      <c r="I11" s="37" t="s">
        <v>15</v>
      </c>
      <c r="J11" s="37" t="s">
        <v>210</v>
      </c>
      <c r="K11" s="37" t="s">
        <v>30</v>
      </c>
      <c r="L11" s="37" t="s">
        <v>16</v>
      </c>
      <c r="M11" s="38" t="s">
        <v>235</v>
      </c>
      <c r="N11" s="185"/>
      <c r="O11" s="179"/>
      <c r="P11" s="180"/>
      <c r="S11" s="22"/>
      <c r="T11" s="22"/>
    </row>
    <row r="12" spans="1:20" s="23" customFormat="1" ht="11.25" customHeight="1">
      <c r="A12" s="11"/>
      <c r="B12" s="10"/>
      <c r="C12" s="10"/>
      <c r="D12" s="32"/>
      <c r="E12" s="35"/>
      <c r="F12" s="47"/>
      <c r="G12" s="103" t="s">
        <v>204</v>
      </c>
      <c r="H12" s="39">
        <v>0.9</v>
      </c>
      <c r="I12" s="39">
        <v>2.1</v>
      </c>
      <c r="J12" s="39">
        <f>H12*I12</f>
        <v>1.8900000000000001</v>
      </c>
      <c r="K12" s="39" t="s">
        <v>233</v>
      </c>
      <c r="L12" s="419">
        <v>7</v>
      </c>
      <c r="M12" s="40">
        <f>H12*I12*L12</f>
        <v>13.23</v>
      </c>
      <c r="N12" s="185"/>
      <c r="O12" s="44"/>
      <c r="P12" s="35"/>
      <c r="S12" s="22"/>
      <c r="T12" s="22"/>
    </row>
    <row r="13" spans="1:20" s="23" customFormat="1" ht="11.25" customHeight="1" thickBot="1">
      <c r="A13" s="11"/>
      <c r="B13" s="10"/>
      <c r="C13" s="10"/>
      <c r="D13" s="32"/>
      <c r="E13" s="35"/>
      <c r="F13" s="47"/>
      <c r="G13" s="623" t="s">
        <v>220</v>
      </c>
      <c r="H13" s="624">
        <v>3</v>
      </c>
      <c r="I13" s="624">
        <v>2.1</v>
      </c>
      <c r="J13" s="624">
        <f>H13*I13</f>
        <v>6.300000000000001</v>
      </c>
      <c r="K13" s="624" t="s">
        <v>234</v>
      </c>
      <c r="L13" s="625">
        <v>1</v>
      </c>
      <c r="M13" s="626">
        <f>H13*I13*L13</f>
        <v>6.300000000000001</v>
      </c>
      <c r="N13" s="185"/>
      <c r="O13" s="44"/>
      <c r="P13" s="35"/>
      <c r="S13" s="22"/>
      <c r="T13" s="22"/>
    </row>
    <row r="14" spans="1:20" s="23" customFormat="1" ht="11.25" customHeight="1" thickBot="1">
      <c r="A14" s="11"/>
      <c r="B14" s="10"/>
      <c r="C14" s="10"/>
      <c r="D14" s="32"/>
      <c r="E14" s="35"/>
      <c r="F14" s="47"/>
      <c r="G14" s="44"/>
      <c r="H14" s="44"/>
      <c r="I14" s="44"/>
      <c r="J14" s="44"/>
      <c r="K14" s="44"/>
      <c r="L14" s="44"/>
      <c r="M14" s="628">
        <f>SUM(M12:M13)</f>
        <v>19.53</v>
      </c>
      <c r="N14" s="185"/>
      <c r="O14" s="44"/>
      <c r="P14" s="35"/>
      <c r="S14" s="22"/>
      <c r="T14" s="22"/>
    </row>
    <row r="15" spans="1:20" s="2" customFormat="1" ht="15" customHeight="1" thickBot="1">
      <c r="A15" s="16"/>
      <c r="B15" s="17"/>
      <c r="C15" s="17"/>
      <c r="D15" s="41"/>
      <c r="E15" s="41"/>
      <c r="F15" s="96"/>
      <c r="G15" s="181"/>
      <c r="H15" s="181"/>
      <c r="I15" s="181"/>
      <c r="J15" s="181"/>
      <c r="K15" s="181"/>
      <c r="L15" s="181"/>
      <c r="M15" s="181"/>
      <c r="N15" s="185"/>
      <c r="O15" s="55"/>
      <c r="P15" s="41"/>
      <c r="R15" s="23"/>
      <c r="S15" s="16"/>
      <c r="T15" s="16"/>
    </row>
    <row r="16" spans="1:20" s="2" customFormat="1" ht="15" customHeight="1">
      <c r="A16" s="16"/>
      <c r="B16" s="17"/>
      <c r="C16" s="17"/>
      <c r="D16" s="41"/>
      <c r="E16" s="41"/>
      <c r="F16" s="96"/>
      <c r="G16" s="855" t="s">
        <v>182</v>
      </c>
      <c r="H16" s="856"/>
      <c r="I16" s="861"/>
      <c r="J16" s="861"/>
      <c r="K16" s="861"/>
      <c r="L16" s="861"/>
      <c r="M16" s="857"/>
      <c r="N16" s="185"/>
      <c r="O16" s="55"/>
      <c r="P16" s="41"/>
      <c r="R16" s="23"/>
      <c r="S16" s="16"/>
      <c r="T16" s="16"/>
    </row>
    <row r="17" spans="1:20" s="4" customFormat="1" ht="19.5" customHeight="1" thickBot="1">
      <c r="A17" s="11"/>
      <c r="B17" s="10"/>
      <c r="C17" s="10"/>
      <c r="D17" s="32"/>
      <c r="E17" s="32"/>
      <c r="F17" s="92"/>
      <c r="G17" s="862"/>
      <c r="H17" s="863"/>
      <c r="I17" s="864"/>
      <c r="J17" s="864"/>
      <c r="K17" s="864"/>
      <c r="L17" s="864"/>
      <c r="M17" s="865"/>
      <c r="N17" s="183"/>
      <c r="O17" s="49"/>
      <c r="P17" s="32"/>
      <c r="R17" s="23"/>
      <c r="S17" s="11"/>
      <c r="T17" s="11"/>
    </row>
    <row r="18" spans="1:20" s="4" customFormat="1" ht="15" customHeight="1">
      <c r="A18" s="11"/>
      <c r="B18" s="10"/>
      <c r="C18" s="10"/>
      <c r="D18" s="32"/>
      <c r="E18" s="32"/>
      <c r="F18" s="92"/>
      <c r="G18" s="36" t="s">
        <v>14</v>
      </c>
      <c r="H18" s="37" t="s">
        <v>12</v>
      </c>
      <c r="I18" s="37" t="s">
        <v>15</v>
      </c>
      <c r="J18" s="37" t="str">
        <f>J11</f>
        <v>AREA </v>
      </c>
      <c r="K18" s="37" t="s">
        <v>30</v>
      </c>
      <c r="L18" s="37" t="s">
        <v>16</v>
      </c>
      <c r="M18" s="38" t="s">
        <v>235</v>
      </c>
      <c r="N18" s="183"/>
      <c r="O18" s="44"/>
      <c r="P18" s="32"/>
      <c r="R18" s="23"/>
      <c r="S18" s="11"/>
      <c r="T18" s="11"/>
    </row>
    <row r="19" spans="1:20" s="2" customFormat="1" ht="15" customHeight="1">
      <c r="A19" s="16"/>
      <c r="B19" s="17"/>
      <c r="C19" s="17"/>
      <c r="D19" s="41"/>
      <c r="E19" s="41"/>
      <c r="F19" s="96"/>
      <c r="G19" s="103" t="s">
        <v>206</v>
      </c>
      <c r="H19" s="39">
        <v>2</v>
      </c>
      <c r="I19" s="39">
        <v>1.6</v>
      </c>
      <c r="J19" s="39">
        <f>I19*H19</f>
        <v>3.2</v>
      </c>
      <c r="K19" s="39" t="s">
        <v>183</v>
      </c>
      <c r="L19" s="39">
        <v>2</v>
      </c>
      <c r="M19" s="622">
        <f>H19*I19*L19</f>
        <v>6.4</v>
      </c>
      <c r="N19" s="185"/>
      <c r="O19" s="44"/>
      <c r="P19" s="35"/>
      <c r="R19" s="23"/>
      <c r="S19" s="16"/>
      <c r="T19" s="16"/>
    </row>
    <row r="20" spans="1:20" s="2" customFormat="1" ht="15" customHeight="1">
      <c r="A20" s="16"/>
      <c r="B20" s="17"/>
      <c r="C20" s="17"/>
      <c r="D20" s="41"/>
      <c r="E20" s="41"/>
      <c r="F20" s="96"/>
      <c r="G20" s="103" t="s">
        <v>205</v>
      </c>
      <c r="H20" s="39">
        <v>1.5</v>
      </c>
      <c r="I20" s="39">
        <v>1.1</v>
      </c>
      <c r="J20" s="39">
        <f>I20*H20</f>
        <v>1.6500000000000001</v>
      </c>
      <c r="K20" s="39" t="s">
        <v>222</v>
      </c>
      <c r="L20" s="39">
        <v>3</v>
      </c>
      <c r="M20" s="622">
        <f>H20*I20*L20</f>
        <v>4.95</v>
      </c>
      <c r="N20" s="185"/>
      <c r="O20" s="44"/>
      <c r="P20" s="35"/>
      <c r="R20" s="23"/>
      <c r="S20" s="16"/>
      <c r="T20" s="16"/>
    </row>
    <row r="21" spans="1:20" s="2" customFormat="1" ht="15" customHeight="1">
      <c r="A21" s="16"/>
      <c r="B21" s="17"/>
      <c r="C21" s="17"/>
      <c r="D21" s="41"/>
      <c r="E21" s="41"/>
      <c r="F21" s="96"/>
      <c r="G21" s="103" t="s">
        <v>221</v>
      </c>
      <c r="H21" s="39">
        <v>1</v>
      </c>
      <c r="I21" s="39">
        <v>0.5</v>
      </c>
      <c r="J21" s="39">
        <f>I21*H21</f>
        <v>0.5</v>
      </c>
      <c r="K21" s="39" t="s">
        <v>280</v>
      </c>
      <c r="L21" s="39">
        <v>1</v>
      </c>
      <c r="M21" s="40">
        <f>H21*I21*L21</f>
        <v>0.5</v>
      </c>
      <c r="N21" s="185"/>
      <c r="O21" s="44"/>
      <c r="P21" s="35"/>
      <c r="R21" s="23"/>
      <c r="S21" s="16"/>
      <c r="T21" s="16"/>
    </row>
    <row r="22" spans="1:20" s="2" customFormat="1" ht="15" customHeight="1">
      <c r="A22" s="16"/>
      <c r="B22" s="17"/>
      <c r="C22" s="17"/>
      <c r="D22" s="41"/>
      <c r="E22" s="41"/>
      <c r="F22" s="96"/>
      <c r="G22" s="103" t="s">
        <v>219</v>
      </c>
      <c r="H22" s="39">
        <v>0.8</v>
      </c>
      <c r="I22" s="418">
        <v>0.5</v>
      </c>
      <c r="J22" s="39">
        <f>I22*H22</f>
        <v>0.4</v>
      </c>
      <c r="K22" s="39" t="s">
        <v>281</v>
      </c>
      <c r="L22" s="39">
        <v>2</v>
      </c>
      <c r="M22" s="40">
        <f>H22*I22*L22</f>
        <v>0.8</v>
      </c>
      <c r="N22" s="185"/>
      <c r="O22" s="44"/>
      <c r="P22" s="35"/>
      <c r="R22" s="23"/>
      <c r="S22" s="16"/>
      <c r="T22" s="16"/>
    </row>
    <row r="23" spans="1:20" s="23" customFormat="1" ht="11.25" customHeight="1">
      <c r="A23" s="11"/>
      <c r="B23" s="10"/>
      <c r="C23" s="10"/>
      <c r="D23" s="32"/>
      <c r="E23" s="35"/>
      <c r="F23" s="47"/>
      <c r="G23" s="181"/>
      <c r="H23" s="44"/>
      <c r="I23" s="181"/>
      <c r="J23" s="181"/>
      <c r="K23" s="881" t="s">
        <v>383</v>
      </c>
      <c r="L23" s="882"/>
      <c r="M23" s="419">
        <f>SUM(M21:M22)</f>
        <v>1.3</v>
      </c>
      <c r="N23" s="185"/>
      <c r="O23" s="179"/>
      <c r="P23" s="180"/>
      <c r="S23" s="22"/>
      <c r="T23" s="22"/>
    </row>
    <row r="24" spans="1:20" s="2" customFormat="1" ht="15" customHeight="1">
      <c r="A24" s="16"/>
      <c r="B24" s="17"/>
      <c r="C24" s="17"/>
      <c r="D24" s="41"/>
      <c r="E24" s="41"/>
      <c r="F24" s="96"/>
      <c r="G24" s="181"/>
      <c r="H24" s="181"/>
      <c r="I24" s="181"/>
      <c r="J24" s="181"/>
      <c r="K24" s="881" t="s">
        <v>391</v>
      </c>
      <c r="L24" s="882"/>
      <c r="M24" s="39">
        <f>M19+M20+M23</f>
        <v>12.650000000000002</v>
      </c>
      <c r="N24" s="185"/>
      <c r="O24" s="55"/>
      <c r="P24" s="41"/>
      <c r="S24" s="16"/>
      <c r="T24" s="16"/>
    </row>
    <row r="25" spans="1:20" s="2" customFormat="1" ht="15" customHeight="1" thickBot="1">
      <c r="A25" s="16"/>
      <c r="B25" s="17"/>
      <c r="C25" s="17"/>
      <c r="D25" s="41"/>
      <c r="E25" s="41"/>
      <c r="F25" s="96"/>
      <c r="G25" s="181"/>
      <c r="H25" s="181"/>
      <c r="I25" s="181"/>
      <c r="J25" s="181"/>
      <c r="K25" s="181"/>
      <c r="L25" s="181"/>
      <c r="M25" s="181"/>
      <c r="N25" s="185"/>
      <c r="O25" s="55"/>
      <c r="P25" s="41"/>
      <c r="S25" s="16"/>
      <c r="T25" s="16"/>
    </row>
    <row r="26" spans="1:20" s="2" customFormat="1" ht="15" customHeight="1" thickBot="1">
      <c r="A26" s="16"/>
      <c r="B26" s="17"/>
      <c r="C26" s="17"/>
      <c r="D26" s="41"/>
      <c r="E26" s="41"/>
      <c r="F26" s="96"/>
      <c r="G26" s="868" t="s">
        <v>392</v>
      </c>
      <c r="H26" s="869"/>
      <c r="I26" s="869"/>
      <c r="J26" s="869"/>
      <c r="K26" s="869"/>
      <c r="L26" s="870"/>
      <c r="M26" s="627">
        <f>M14+M24</f>
        <v>32.18000000000001</v>
      </c>
      <c r="N26" s="185"/>
      <c r="O26" s="55"/>
      <c r="P26" s="41"/>
      <c r="S26" s="16"/>
      <c r="T26" s="16"/>
    </row>
    <row r="27" spans="1:20" s="2" customFormat="1" ht="15" customHeight="1">
      <c r="A27" s="16"/>
      <c r="B27" s="17"/>
      <c r="C27" s="17"/>
      <c r="D27" s="41"/>
      <c r="E27" s="41"/>
      <c r="F27" s="96"/>
      <c r="G27" s="181"/>
      <c r="H27" s="181"/>
      <c r="I27" s="181"/>
      <c r="J27" s="181"/>
      <c r="K27" s="181"/>
      <c r="L27" s="181"/>
      <c r="M27" s="181"/>
      <c r="N27" s="185"/>
      <c r="O27" s="55"/>
      <c r="P27" s="41"/>
      <c r="S27" s="16"/>
      <c r="T27" s="16"/>
    </row>
    <row r="28" spans="1:20" s="2" customFormat="1" ht="15" customHeight="1" thickBot="1">
      <c r="A28" s="16"/>
      <c r="B28" s="17"/>
      <c r="C28" s="17"/>
      <c r="D28" s="41"/>
      <c r="E28" s="41"/>
      <c r="F28" s="96"/>
      <c r="G28" s="181"/>
      <c r="H28" s="181"/>
      <c r="I28" s="181"/>
      <c r="J28" s="181"/>
      <c r="K28" s="181"/>
      <c r="L28" s="181"/>
      <c r="M28" s="181"/>
      <c r="N28" s="185"/>
      <c r="O28" s="55"/>
      <c r="P28" s="41"/>
      <c r="S28" s="16"/>
      <c r="T28" s="16"/>
    </row>
    <row r="29" spans="1:20" s="2" customFormat="1" ht="15" customHeight="1">
      <c r="A29" s="16"/>
      <c r="B29" s="17"/>
      <c r="C29" s="17"/>
      <c r="D29" s="41"/>
      <c r="E29" s="41"/>
      <c r="F29" s="96"/>
      <c r="G29" s="855" t="s">
        <v>35</v>
      </c>
      <c r="H29" s="856"/>
      <c r="I29" s="861"/>
      <c r="J29" s="861"/>
      <c r="K29" s="861"/>
      <c r="L29" s="861"/>
      <c r="M29" s="857"/>
      <c r="N29" s="185"/>
      <c r="O29" s="55"/>
      <c r="P29" s="41"/>
      <c r="S29" s="16"/>
      <c r="T29" s="16"/>
    </row>
    <row r="30" spans="1:20" s="2" customFormat="1" ht="15" customHeight="1" thickBot="1">
      <c r="A30" s="16"/>
      <c r="B30" s="17"/>
      <c r="C30" s="17"/>
      <c r="D30" s="41"/>
      <c r="E30" s="41"/>
      <c r="F30" s="96"/>
      <c r="G30" s="862"/>
      <c r="H30" s="863"/>
      <c r="I30" s="864"/>
      <c r="J30" s="864"/>
      <c r="K30" s="864"/>
      <c r="L30" s="864"/>
      <c r="M30" s="865"/>
      <c r="N30" s="185"/>
      <c r="O30" s="55"/>
      <c r="P30" s="41"/>
      <c r="S30" s="16"/>
      <c r="T30" s="16"/>
    </row>
    <row r="31" spans="1:20" s="4" customFormat="1" ht="20.25" thickBot="1">
      <c r="A31" s="11"/>
      <c r="B31" s="10"/>
      <c r="C31" s="10"/>
      <c r="D31" s="32"/>
      <c r="E31" s="32"/>
      <c r="F31" s="92"/>
      <c r="G31" s="166" t="s">
        <v>14</v>
      </c>
      <c r="H31" s="167" t="s">
        <v>12</v>
      </c>
      <c r="I31" s="836" t="s">
        <v>15</v>
      </c>
      <c r="J31" s="837"/>
      <c r="K31" s="167" t="s">
        <v>30</v>
      </c>
      <c r="L31" s="167" t="s">
        <v>16</v>
      </c>
      <c r="M31" s="168" t="s">
        <v>36</v>
      </c>
      <c r="N31" s="183"/>
      <c r="O31" s="49"/>
      <c r="P31" s="32"/>
      <c r="S31" s="11"/>
      <c r="T31" s="11"/>
    </row>
    <row r="32" spans="7:13" ht="19.5">
      <c r="G32" s="206" t="s">
        <v>207</v>
      </c>
      <c r="H32" s="207">
        <f>H19</f>
        <v>2</v>
      </c>
      <c r="I32" s="873">
        <f>I19</f>
        <v>1.6</v>
      </c>
      <c r="J32" s="874"/>
      <c r="K32" s="207" t="str">
        <f>K19</f>
        <v>ALUM CORRER - 04 FLS</v>
      </c>
      <c r="L32" s="207">
        <f>L19</f>
        <v>2</v>
      </c>
      <c r="M32" s="208">
        <f>H32*L32</f>
        <v>4</v>
      </c>
    </row>
    <row r="33" spans="7:13" ht="19.5">
      <c r="G33" s="206" t="s">
        <v>208</v>
      </c>
      <c r="H33" s="207">
        <f>H20</f>
        <v>1.5</v>
      </c>
      <c r="I33" s="849">
        <f>I20</f>
        <v>1.1</v>
      </c>
      <c r="J33" s="850"/>
      <c r="K33" s="207" t="str">
        <f>K20</f>
        <v>ALUM CORRER - 02 FLS</v>
      </c>
      <c r="L33" s="207">
        <f>L20</f>
        <v>3</v>
      </c>
      <c r="M33" s="208">
        <f>H33*L33</f>
        <v>4.5</v>
      </c>
    </row>
    <row r="34" spans="7:13" ht="19.5">
      <c r="G34" s="206" t="s">
        <v>209</v>
      </c>
      <c r="H34" s="207">
        <f>H21</f>
        <v>1</v>
      </c>
      <c r="I34" s="849">
        <v>0.5</v>
      </c>
      <c r="J34" s="850"/>
      <c r="K34" s="207" t="str">
        <f>K21</f>
        <v>MAXIM AR</v>
      </c>
      <c r="L34" s="207">
        <v>1</v>
      </c>
      <c r="M34" s="208">
        <f>H34*L34</f>
        <v>1</v>
      </c>
    </row>
    <row r="35" spans="1:20" s="23" customFormat="1" ht="20.25" customHeight="1" thickBot="1">
      <c r="A35" s="11"/>
      <c r="B35" s="10"/>
      <c r="C35" s="10"/>
      <c r="D35" s="32"/>
      <c r="E35" s="35"/>
      <c r="F35" s="47"/>
      <c r="G35" s="286" t="s">
        <v>223</v>
      </c>
      <c r="H35" s="287">
        <f>H22</f>
        <v>0.8</v>
      </c>
      <c r="I35" s="866">
        <f>I22</f>
        <v>0.5</v>
      </c>
      <c r="J35" s="867"/>
      <c r="K35" s="287" t="str">
        <f>K22</f>
        <v>MAXIM AR </v>
      </c>
      <c r="L35" s="287">
        <f>L22</f>
        <v>2</v>
      </c>
      <c r="M35" s="208">
        <f>H35*L35</f>
        <v>1.6</v>
      </c>
      <c r="N35" s="185"/>
      <c r="O35" s="44"/>
      <c r="P35" s="35"/>
      <c r="S35" s="22"/>
      <c r="T35" s="22"/>
    </row>
    <row r="36" spans="1:20" s="23" customFormat="1" ht="15" customHeight="1">
      <c r="A36" s="22"/>
      <c r="B36" s="21"/>
      <c r="C36" s="18"/>
      <c r="D36" s="35"/>
      <c r="E36" s="35"/>
      <c r="F36" s="93"/>
      <c r="G36" s="875" t="s">
        <v>0</v>
      </c>
      <c r="H36" s="876"/>
      <c r="I36" s="876"/>
      <c r="J36" s="876"/>
      <c r="K36" s="876"/>
      <c r="L36" s="877"/>
      <c r="M36" s="871">
        <f>SUM(M32:M35)</f>
        <v>11.1</v>
      </c>
      <c r="N36" s="185"/>
      <c r="O36" s="44"/>
      <c r="P36" s="35"/>
      <c r="S36" s="22"/>
      <c r="T36" s="22"/>
    </row>
    <row r="37" spans="1:20" s="23" customFormat="1" ht="15" customHeight="1" thickBot="1">
      <c r="A37" s="22"/>
      <c r="B37" s="21"/>
      <c r="C37" s="18"/>
      <c r="D37" s="35"/>
      <c r="E37" s="35"/>
      <c r="F37" s="93"/>
      <c r="G37" s="878"/>
      <c r="H37" s="879"/>
      <c r="I37" s="879"/>
      <c r="J37" s="879"/>
      <c r="K37" s="879"/>
      <c r="L37" s="880"/>
      <c r="M37" s="872"/>
      <c r="N37" s="184"/>
      <c r="O37" s="45"/>
      <c r="P37" s="35"/>
      <c r="S37" s="22"/>
      <c r="T37" s="22"/>
    </row>
    <row r="38" spans="1:20" s="23" customFormat="1" ht="15" customHeight="1" thickBot="1">
      <c r="A38" s="22"/>
      <c r="B38" s="21"/>
      <c r="C38" s="18"/>
      <c r="D38" s="35"/>
      <c r="E38" s="35"/>
      <c r="F38" s="93"/>
      <c r="G38" s="181"/>
      <c r="H38" s="181"/>
      <c r="I38" s="181"/>
      <c r="J38" s="181"/>
      <c r="K38" s="181"/>
      <c r="L38" s="181"/>
      <c r="M38" s="181"/>
      <c r="N38" s="184"/>
      <c r="O38" s="45"/>
      <c r="P38" s="35"/>
      <c r="S38" s="22"/>
      <c r="T38" s="22"/>
    </row>
    <row r="39" spans="1:20" s="23" customFormat="1" ht="15" customHeight="1" thickBot="1">
      <c r="A39" s="11"/>
      <c r="B39" s="10"/>
      <c r="C39" s="10"/>
      <c r="D39" s="32"/>
      <c r="E39" s="35"/>
      <c r="F39" s="47"/>
      <c r="G39" s="838" t="s">
        <v>38</v>
      </c>
      <c r="H39" s="839"/>
      <c r="I39" s="839"/>
      <c r="J39" s="839"/>
      <c r="K39" s="839"/>
      <c r="L39" s="839"/>
      <c r="M39" s="840"/>
      <c r="N39" s="185"/>
      <c r="O39" s="44"/>
      <c r="P39" s="35"/>
      <c r="S39" s="22"/>
      <c r="T39" s="22"/>
    </row>
    <row r="40" spans="1:20" s="23" customFormat="1" ht="21.75" customHeight="1" thickBot="1">
      <c r="A40" s="11"/>
      <c r="B40" s="10"/>
      <c r="C40" s="10"/>
      <c r="D40" s="32"/>
      <c r="E40" s="35"/>
      <c r="F40" s="47"/>
      <c r="G40" s="166" t="s">
        <v>61</v>
      </c>
      <c r="H40" s="167" t="s">
        <v>12</v>
      </c>
      <c r="I40" s="836" t="s">
        <v>37</v>
      </c>
      <c r="J40" s="837"/>
      <c r="K40" s="167" t="s">
        <v>22</v>
      </c>
      <c r="L40" s="167" t="s">
        <v>16</v>
      </c>
      <c r="M40" s="168" t="s">
        <v>36</v>
      </c>
      <c r="N40" s="185"/>
      <c r="O40" s="44"/>
      <c r="P40" s="35"/>
      <c r="S40" s="22"/>
      <c r="T40" s="22"/>
    </row>
    <row r="41" spans="1:20" s="23" customFormat="1" ht="15" customHeight="1">
      <c r="A41" s="22"/>
      <c r="B41" s="21"/>
      <c r="C41" s="18"/>
      <c r="D41" s="35"/>
      <c r="E41" s="35"/>
      <c r="F41" s="93"/>
      <c r="G41" s="206" t="s">
        <v>204</v>
      </c>
      <c r="H41" s="39">
        <f>H12</f>
        <v>0.9</v>
      </c>
      <c r="I41" s="853">
        <v>1</v>
      </c>
      <c r="J41" s="854"/>
      <c r="K41" s="207">
        <v>0.3</v>
      </c>
      <c r="L41" s="39">
        <v>4</v>
      </c>
      <c r="M41" s="208">
        <f aca="true" t="shared" si="0" ref="M41:M46">((H41+(2*K41))*I41*L41)</f>
        <v>6</v>
      </c>
      <c r="N41" s="184"/>
      <c r="O41" s="45"/>
      <c r="P41" s="35"/>
      <c r="S41" s="22"/>
      <c r="T41" s="22"/>
    </row>
    <row r="42" spans="1:20" s="23" customFormat="1" ht="15" customHeight="1">
      <c r="A42" s="22"/>
      <c r="B42" s="21"/>
      <c r="C42" s="18"/>
      <c r="D42" s="35"/>
      <c r="E42" s="35"/>
      <c r="F42" s="93"/>
      <c r="G42" s="206" t="s">
        <v>220</v>
      </c>
      <c r="H42" s="39">
        <v>3</v>
      </c>
      <c r="I42" s="849">
        <v>1</v>
      </c>
      <c r="J42" s="850"/>
      <c r="K42" s="207">
        <v>0.3</v>
      </c>
      <c r="L42" s="39">
        <v>1</v>
      </c>
      <c r="M42" s="208">
        <f t="shared" si="0"/>
        <v>3.6</v>
      </c>
      <c r="N42" s="184"/>
      <c r="O42" s="45"/>
      <c r="P42" s="35"/>
      <c r="S42" s="22"/>
      <c r="T42" s="22"/>
    </row>
    <row r="43" spans="1:20" s="23" customFormat="1" ht="15" customHeight="1">
      <c r="A43" s="22"/>
      <c r="B43" s="21"/>
      <c r="C43" s="18"/>
      <c r="D43" s="35"/>
      <c r="E43" s="35"/>
      <c r="F43" s="93"/>
      <c r="G43" s="103" t="str">
        <f>G19</f>
        <v>JV 1</v>
      </c>
      <c r="H43" s="39">
        <f>H32</f>
        <v>2</v>
      </c>
      <c r="I43" s="849">
        <v>2</v>
      </c>
      <c r="J43" s="850"/>
      <c r="K43" s="39">
        <v>0.3</v>
      </c>
      <c r="L43" s="39">
        <v>2</v>
      </c>
      <c r="M43" s="208">
        <f t="shared" si="0"/>
        <v>10.4</v>
      </c>
      <c r="N43" s="184"/>
      <c r="O43" s="45"/>
      <c r="P43" s="35"/>
      <c r="S43" s="22"/>
      <c r="T43" s="22"/>
    </row>
    <row r="44" spans="1:20" s="23" customFormat="1" ht="15" customHeight="1">
      <c r="A44" s="22"/>
      <c r="B44" s="21"/>
      <c r="C44" s="18"/>
      <c r="D44" s="35"/>
      <c r="E44" s="35"/>
      <c r="F44" s="93"/>
      <c r="G44" s="103" t="str">
        <f>G20</f>
        <v>JV 2</v>
      </c>
      <c r="H44" s="39">
        <f>H33</f>
        <v>1.5</v>
      </c>
      <c r="I44" s="849">
        <v>2</v>
      </c>
      <c r="J44" s="850"/>
      <c r="K44" s="39">
        <v>0.3</v>
      </c>
      <c r="L44" s="39">
        <v>3</v>
      </c>
      <c r="M44" s="208">
        <f t="shared" si="0"/>
        <v>12.600000000000001</v>
      </c>
      <c r="N44" s="184"/>
      <c r="O44" s="45"/>
      <c r="P44" s="35"/>
      <c r="S44" s="22"/>
      <c r="T44" s="22"/>
    </row>
    <row r="45" spans="1:20" s="23" customFormat="1" ht="15" customHeight="1">
      <c r="A45" s="22"/>
      <c r="B45" s="21"/>
      <c r="C45" s="18"/>
      <c r="D45" s="35"/>
      <c r="E45" s="35"/>
      <c r="F45" s="93"/>
      <c r="G45" s="103" t="str">
        <f>G21</f>
        <v>JV 3</v>
      </c>
      <c r="H45" s="39">
        <v>1</v>
      </c>
      <c r="I45" s="849">
        <v>2</v>
      </c>
      <c r="J45" s="850"/>
      <c r="K45" s="39">
        <v>0.3</v>
      </c>
      <c r="L45" s="39">
        <f>L34</f>
        <v>1</v>
      </c>
      <c r="M45" s="208">
        <f t="shared" si="0"/>
        <v>3.2</v>
      </c>
      <c r="N45" s="184"/>
      <c r="O45" s="45"/>
      <c r="P45" s="35"/>
      <c r="S45" s="22"/>
      <c r="T45" s="22"/>
    </row>
    <row r="46" spans="1:20" s="23" customFormat="1" ht="15" customHeight="1" thickBot="1">
      <c r="A46" s="22"/>
      <c r="B46" s="21"/>
      <c r="C46" s="18"/>
      <c r="D46" s="35"/>
      <c r="E46" s="35"/>
      <c r="F46" s="93"/>
      <c r="G46" s="103" t="str">
        <f>G22</f>
        <v>JV 4</v>
      </c>
      <c r="H46" s="39">
        <f>H35</f>
        <v>0.8</v>
      </c>
      <c r="I46" s="851">
        <v>2</v>
      </c>
      <c r="J46" s="852"/>
      <c r="K46" s="39">
        <v>0.3</v>
      </c>
      <c r="L46" s="39">
        <v>2</v>
      </c>
      <c r="M46" s="40">
        <f t="shared" si="0"/>
        <v>5.6</v>
      </c>
      <c r="N46" s="184"/>
      <c r="O46" s="45"/>
      <c r="P46" s="35"/>
      <c r="S46" s="22"/>
      <c r="T46" s="22"/>
    </row>
    <row r="47" spans="7:14" ht="19.5" customHeight="1" thickBot="1">
      <c r="G47" s="868" t="s">
        <v>85</v>
      </c>
      <c r="H47" s="869"/>
      <c r="I47" s="869"/>
      <c r="J47" s="869"/>
      <c r="K47" s="869"/>
      <c r="L47" s="870"/>
      <c r="M47" s="627">
        <f>SUM(M41:M46)</f>
        <v>41.400000000000006</v>
      </c>
      <c r="N47" s="212"/>
    </row>
    <row r="48" spans="7:14" ht="19.5" customHeight="1" thickBot="1">
      <c r="G48" s="181"/>
      <c r="H48" s="181"/>
      <c r="I48" s="181"/>
      <c r="J48" s="181"/>
      <c r="K48" s="181"/>
      <c r="L48" s="181"/>
      <c r="M48" s="416"/>
      <c r="N48" s="184"/>
    </row>
    <row r="49" spans="7:14" ht="19.5" customHeight="1" thickBot="1">
      <c r="G49" s="841" t="s">
        <v>370</v>
      </c>
      <c r="H49" s="842"/>
      <c r="I49" s="181"/>
      <c r="J49" s="843" t="s">
        <v>372</v>
      </c>
      <c r="K49" s="844"/>
      <c r="L49" s="181"/>
      <c r="M49" s="416"/>
      <c r="N49" s="184"/>
    </row>
    <row r="50" spans="7:14" ht="19.5" customHeight="1" thickBot="1">
      <c r="G50" s="845">
        <v>10.7</v>
      </c>
      <c r="H50" s="846"/>
      <c r="I50" s="181"/>
      <c r="J50" s="420" t="s">
        <v>298</v>
      </c>
      <c r="K50" s="417" t="s">
        <v>299</v>
      </c>
      <c r="L50" s="181"/>
      <c r="M50" s="416"/>
      <c r="N50" s="184"/>
    </row>
    <row r="51" spans="7:14" ht="19.5" customHeight="1" thickBot="1">
      <c r="G51" s="841" t="s">
        <v>371</v>
      </c>
      <c r="H51" s="842"/>
      <c r="I51" s="181"/>
      <c r="J51" s="421">
        <v>10.7</v>
      </c>
      <c r="K51" s="421">
        <v>5.2</v>
      </c>
      <c r="L51" s="181"/>
      <c r="M51" s="416"/>
      <c r="N51" s="184"/>
    </row>
    <row r="52" spans="7:14" ht="19.5" customHeight="1" thickBot="1">
      <c r="G52" s="847">
        <v>5.2</v>
      </c>
      <c r="H52" s="848"/>
      <c r="I52" s="181"/>
      <c r="J52" s="843" t="s">
        <v>373</v>
      </c>
      <c r="K52" s="844"/>
      <c r="L52" s="181"/>
      <c r="M52" s="416"/>
      <c r="N52" s="184"/>
    </row>
    <row r="53" spans="7:14" ht="19.5" customHeight="1">
      <c r="G53" s="181"/>
      <c r="H53" s="181"/>
      <c r="I53" s="181"/>
      <c r="J53" s="417" t="s">
        <v>298</v>
      </c>
      <c r="K53" s="417" t="s">
        <v>299</v>
      </c>
      <c r="L53" s="181"/>
      <c r="M53" s="416"/>
      <c r="N53" s="184"/>
    </row>
    <row r="54" spans="7:14" ht="19.5" customHeight="1">
      <c r="G54" s="181"/>
      <c r="H54" s="181"/>
      <c r="I54" s="181"/>
      <c r="J54" s="419">
        <v>6</v>
      </c>
      <c r="K54" s="419">
        <v>3.6</v>
      </c>
      <c r="L54" s="181"/>
      <c r="M54" s="416"/>
      <c r="N54" s="184"/>
    </row>
    <row r="55" spans="7:13" ht="20.25" thickBot="1">
      <c r="G55" s="42"/>
      <c r="H55" s="41"/>
      <c r="I55" s="41"/>
      <c r="J55" s="41"/>
      <c r="K55" s="41"/>
      <c r="L55" s="41"/>
      <c r="M55" s="43"/>
    </row>
    <row r="56" spans="7:13" ht="19.5">
      <c r="G56" s="855" t="s">
        <v>186</v>
      </c>
      <c r="H56" s="856"/>
      <c r="I56" s="856"/>
      <c r="J56" s="856"/>
      <c r="K56" s="856"/>
      <c r="L56" s="856"/>
      <c r="M56" s="857"/>
    </row>
    <row r="57" spans="7:13" ht="20.25" thickBot="1">
      <c r="G57" s="858"/>
      <c r="H57" s="859"/>
      <c r="I57" s="859"/>
      <c r="J57" s="859"/>
      <c r="K57" s="859"/>
      <c r="L57" s="859"/>
      <c r="M57" s="860"/>
    </row>
    <row r="58" spans="7:13" ht="19.5">
      <c r="G58" s="36" t="s">
        <v>11</v>
      </c>
      <c r="H58" s="37" t="s">
        <v>12</v>
      </c>
      <c r="I58" s="853" t="s">
        <v>15</v>
      </c>
      <c r="J58" s="854"/>
      <c r="K58" s="37" t="s">
        <v>30</v>
      </c>
      <c r="L58" s="37" t="s">
        <v>16</v>
      </c>
      <c r="M58" s="38" t="s">
        <v>62</v>
      </c>
    </row>
    <row r="59" spans="7:13" ht="20.25" thickBot="1">
      <c r="G59" s="103" t="str">
        <f>G12</f>
        <v>PM1</v>
      </c>
      <c r="H59" s="39">
        <v>0.9</v>
      </c>
      <c r="I59" s="851">
        <v>2.1</v>
      </c>
      <c r="J59" s="852"/>
      <c r="K59" s="39" t="s">
        <v>55</v>
      </c>
      <c r="L59" s="39">
        <v>7</v>
      </c>
      <c r="M59" s="40">
        <f>(H59*I59*L59)</f>
        <v>13.23</v>
      </c>
    </row>
    <row r="60" spans="7:14" ht="15.75" customHeight="1" thickBot="1">
      <c r="G60" s="868" t="s">
        <v>0</v>
      </c>
      <c r="H60" s="869"/>
      <c r="I60" s="869"/>
      <c r="J60" s="869"/>
      <c r="K60" s="869"/>
      <c r="L60" s="870"/>
      <c r="M60" s="283">
        <f>SUM(M59:M59)*2</f>
        <v>26.46</v>
      </c>
      <c r="N60" s="212"/>
    </row>
    <row r="61" spans="7:13" ht="19.5">
      <c r="G61" s="43"/>
      <c r="H61" s="43"/>
      <c r="I61" s="43"/>
      <c r="J61" s="43"/>
      <c r="K61" s="43"/>
      <c r="L61" s="43"/>
      <c r="M61" s="43"/>
    </row>
  </sheetData>
  <sheetProtection/>
  <mergeCells count="39">
    <mergeCell ref="G60:L60"/>
    <mergeCell ref="G8:M8"/>
    <mergeCell ref="G9:M10"/>
    <mergeCell ref="A2:D2"/>
    <mergeCell ref="A6:B6"/>
    <mergeCell ref="G3:P3"/>
    <mergeCell ref="P4:T4"/>
    <mergeCell ref="P5:T5"/>
    <mergeCell ref="G6:M6"/>
    <mergeCell ref="I41:J41"/>
    <mergeCell ref="G16:M17"/>
    <mergeCell ref="M36:M37"/>
    <mergeCell ref="I31:J31"/>
    <mergeCell ref="I32:J32"/>
    <mergeCell ref="I33:J33"/>
    <mergeCell ref="I34:J34"/>
    <mergeCell ref="G36:L37"/>
    <mergeCell ref="K23:L23"/>
    <mergeCell ref="K24:L24"/>
    <mergeCell ref="G26:L26"/>
    <mergeCell ref="I59:J59"/>
    <mergeCell ref="I58:J58"/>
    <mergeCell ref="G56:M57"/>
    <mergeCell ref="G49:H49"/>
    <mergeCell ref="G29:M30"/>
    <mergeCell ref="I35:J35"/>
    <mergeCell ref="I42:J42"/>
    <mergeCell ref="I45:J45"/>
    <mergeCell ref="G47:L47"/>
    <mergeCell ref="I43:J43"/>
    <mergeCell ref="I40:J40"/>
    <mergeCell ref="G39:M39"/>
    <mergeCell ref="G51:H51"/>
    <mergeCell ref="J49:K49"/>
    <mergeCell ref="J52:K52"/>
    <mergeCell ref="G50:H50"/>
    <mergeCell ref="G52:H52"/>
    <mergeCell ref="I44:J44"/>
    <mergeCell ref="I46:J46"/>
  </mergeCells>
  <conditionalFormatting sqref="G49">
    <cfRule type="expression" priority="2" dxfId="2" stopIfTrue="1">
      <formula>OR($G49="M",$G49="A")</formula>
    </cfRule>
  </conditionalFormatting>
  <conditionalFormatting sqref="G51">
    <cfRule type="expression" priority="1" dxfId="2" stopIfTrue="1">
      <formula>OR($G51="M",$G51="A")</formula>
    </cfRule>
  </conditionalFormatting>
  <printOptions horizontalCentered="1"/>
  <pageMargins left="0.3937007874015748" right="0.3937007874015748" top="0.5905511811023623" bottom="0.2755905511811024" header="0.2755905511811024" footer="0.11811023622047245"/>
  <pageSetup horizontalDpi="300" verticalDpi="300" orientation="portrait" paperSize="9" scale="81" r:id="rId1"/>
  <headerFooter alignWithMargins="0"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4:G45"/>
  <sheetViews>
    <sheetView view="pageBreakPreview" zoomScale="80" zoomScaleNormal="175" zoomScaleSheetLayoutView="80" zoomScalePageLayoutView="0" workbookViewId="0" topLeftCell="A1">
      <selection activeCell="D11" sqref="D11:E11"/>
    </sheetView>
  </sheetViews>
  <sheetFormatPr defaultColWidth="9.140625" defaultRowHeight="12.75"/>
  <cols>
    <col min="2" max="2" width="17.8515625" style="0" bestFit="1" customWidth="1"/>
    <col min="3" max="6" width="14.7109375" style="0" customWidth="1"/>
  </cols>
  <sheetData>
    <row r="1" ht="4.5" customHeight="1"/>
    <row r="2" ht="12.75" hidden="1"/>
    <row r="3" ht="12.75" hidden="1"/>
    <row r="4" spans="2:6" ht="12.75" hidden="1">
      <c r="B4" s="903"/>
      <c r="C4" s="903"/>
      <c r="D4" s="903"/>
      <c r="E4" s="903"/>
      <c r="F4" s="903"/>
    </row>
    <row r="5" spans="2:6" ht="12.75" hidden="1">
      <c r="B5" s="888"/>
      <c r="C5" s="888"/>
      <c r="D5" s="888"/>
      <c r="E5" s="888"/>
      <c r="F5" s="888"/>
    </row>
    <row r="6" spans="2:6" ht="13.5" thickBot="1">
      <c r="B6" s="888"/>
      <c r="C6" s="888"/>
      <c r="D6" s="888"/>
      <c r="E6" s="888"/>
      <c r="F6" s="888"/>
    </row>
    <row r="7" spans="1:6" ht="16.5" thickBot="1">
      <c r="A7" s="897" t="s">
        <v>376</v>
      </c>
      <c r="B7" s="898"/>
      <c r="C7" s="898"/>
      <c r="D7" s="898"/>
      <c r="E7" s="898"/>
      <c r="F7" s="899"/>
    </row>
    <row r="8" spans="2:6" ht="12.75">
      <c r="B8" s="25"/>
      <c r="C8" s="25"/>
      <c r="D8" s="25"/>
      <c r="E8" s="25"/>
      <c r="F8" s="25"/>
    </row>
    <row r="9" spans="2:6" ht="12.75">
      <c r="B9" s="25"/>
      <c r="C9" s="25"/>
      <c r="D9" s="25"/>
      <c r="E9" s="25"/>
      <c r="F9" s="25"/>
    </row>
    <row r="10" spans="2:6" ht="13.5" thickBot="1">
      <c r="B10" s="25"/>
      <c r="C10" s="25"/>
      <c r="D10" s="25"/>
      <c r="E10" s="25"/>
      <c r="F10" s="25"/>
    </row>
    <row r="11" spans="2:5" ht="19.5" customHeight="1" thickBot="1">
      <c r="B11" s="904" t="s">
        <v>375</v>
      </c>
      <c r="C11" s="905"/>
      <c r="D11" s="900" t="s">
        <v>419</v>
      </c>
      <c r="E11" s="901"/>
    </row>
    <row r="12" spans="2:5" ht="12.75">
      <c r="B12" s="25"/>
      <c r="C12" s="25"/>
      <c r="D12" s="25"/>
      <c r="E12" s="25"/>
    </row>
    <row r="13" ht="13.5" thickBot="1"/>
    <row r="14" spans="2:6" ht="16.5" thickBot="1">
      <c r="B14" s="892" t="s">
        <v>374</v>
      </c>
      <c r="C14" s="893"/>
      <c r="D14" s="893"/>
      <c r="E14" s="894"/>
      <c r="F14" s="58"/>
    </row>
    <row r="15" spans="2:5" ht="19.5" customHeight="1" thickBot="1">
      <c r="B15" s="598" t="s">
        <v>24</v>
      </c>
      <c r="C15" s="599" t="s">
        <v>27</v>
      </c>
      <c r="D15" s="600" t="s">
        <v>6</v>
      </c>
      <c r="E15" s="340" t="s">
        <v>377</v>
      </c>
    </row>
    <row r="16" spans="2:5" ht="12.75">
      <c r="B16" s="338" t="s">
        <v>65</v>
      </c>
      <c r="C16" s="339">
        <v>146.63</v>
      </c>
      <c r="D16" s="438">
        <f>C16</f>
        <v>146.63</v>
      </c>
      <c r="E16" s="609">
        <f>D16/2</f>
        <v>73.315</v>
      </c>
    </row>
    <row r="17" spans="2:5" ht="12.75">
      <c r="B17" s="596" t="s">
        <v>216</v>
      </c>
      <c r="C17" s="337">
        <v>9.8</v>
      </c>
      <c r="D17" s="439">
        <v>10.89</v>
      </c>
      <c r="E17" s="610">
        <f>D17/2</f>
        <v>5.445</v>
      </c>
    </row>
    <row r="18" spans="2:5" ht="13.5" thickBot="1">
      <c r="B18" s="597" t="s">
        <v>216</v>
      </c>
      <c r="C18" s="441">
        <v>9.7</v>
      </c>
      <c r="D18" s="440">
        <f>C18</f>
        <v>9.7</v>
      </c>
      <c r="E18" s="611">
        <f>D18/2</f>
        <v>4.85</v>
      </c>
    </row>
    <row r="19" spans="2:5" ht="13.5" thickBot="1">
      <c r="B19" s="605" t="s">
        <v>0</v>
      </c>
      <c r="C19" s="606"/>
      <c r="D19" s="608">
        <f>SUM(D16:D18)</f>
        <v>167.21999999999997</v>
      </c>
      <c r="E19" s="442">
        <f>SUM(E16:E18)</f>
        <v>83.60999999999999</v>
      </c>
    </row>
    <row r="20" spans="2:6" ht="12.75">
      <c r="B20" s="32"/>
      <c r="C20" s="32"/>
      <c r="D20" s="32"/>
      <c r="E20" s="32"/>
      <c r="F20" s="342"/>
    </row>
    <row r="21" ht="13.5" thickBot="1"/>
    <row r="22" spans="2:5" ht="16.5" thickBot="1">
      <c r="B22" s="892" t="s">
        <v>173</v>
      </c>
      <c r="C22" s="893"/>
      <c r="D22" s="893"/>
      <c r="E22" s="894"/>
    </row>
    <row r="23" spans="2:5" ht="18" customHeight="1" thickBot="1">
      <c r="B23" s="598" t="s">
        <v>24</v>
      </c>
      <c r="C23" s="607" t="s">
        <v>32</v>
      </c>
      <c r="D23" s="600" t="s">
        <v>172</v>
      </c>
      <c r="E23" s="340" t="s">
        <v>377</v>
      </c>
    </row>
    <row r="24" spans="2:5" ht="12.75" customHeight="1">
      <c r="B24" s="100" t="s">
        <v>276</v>
      </c>
      <c r="C24" s="612">
        <f>3.25+2.05+2.8+0.9+3.25+8.3+3.2+3.2+3.9+4.35+3.9+1.85+4.3+3.15+0.35+5</f>
        <v>53.74999999999999</v>
      </c>
      <c r="D24" s="601">
        <f>C24</f>
        <v>53.74999999999999</v>
      </c>
      <c r="E24" s="602">
        <f>D24/2</f>
        <v>26.874999999999996</v>
      </c>
    </row>
    <row r="25" spans="2:5" ht="13.5" thickBot="1">
      <c r="B25" s="895" t="s">
        <v>0</v>
      </c>
      <c r="C25" s="896"/>
      <c r="D25" s="608">
        <f>C24</f>
        <v>53.74999999999999</v>
      </c>
      <c r="E25" s="603">
        <f>D25/2</f>
        <v>26.874999999999996</v>
      </c>
    </row>
    <row r="26" ht="13.5" thickBot="1"/>
    <row r="27" spans="2:5" ht="16.5" thickBot="1">
      <c r="B27" s="892" t="s">
        <v>378</v>
      </c>
      <c r="C27" s="893"/>
      <c r="D27" s="893"/>
      <c r="E27" s="894"/>
    </row>
    <row r="28" spans="2:5" ht="13.5" thickBot="1">
      <c r="B28" s="598" t="s">
        <v>24</v>
      </c>
      <c r="C28" s="607" t="s">
        <v>32</v>
      </c>
      <c r="D28" s="600" t="s">
        <v>172</v>
      </c>
      <c r="E28" s="340" t="s">
        <v>377</v>
      </c>
    </row>
    <row r="29" spans="2:5" ht="12.75">
      <c r="B29" s="100" t="s">
        <v>276</v>
      </c>
      <c r="C29" s="612">
        <v>21.1</v>
      </c>
      <c r="D29" s="601">
        <f>C29</f>
        <v>21.1</v>
      </c>
      <c r="E29" s="602">
        <f>D29/2</f>
        <v>10.55</v>
      </c>
    </row>
    <row r="30" spans="2:5" ht="13.5" thickBot="1">
      <c r="B30" s="895" t="s">
        <v>0</v>
      </c>
      <c r="C30" s="896"/>
      <c r="D30" s="608">
        <f>C29</f>
        <v>21.1</v>
      </c>
      <c r="E30" s="603">
        <f>D30/2</f>
        <v>10.55</v>
      </c>
    </row>
    <row r="31" ht="13.5" thickBot="1"/>
    <row r="32" spans="2:5" ht="16.5" thickBot="1">
      <c r="B32" s="892" t="s">
        <v>185</v>
      </c>
      <c r="C32" s="893"/>
      <c r="D32" s="893"/>
      <c r="E32" s="894"/>
    </row>
    <row r="33" spans="2:5" ht="13.5" thickBot="1">
      <c r="B33" s="598" t="s">
        <v>24</v>
      </c>
      <c r="C33" s="607" t="s">
        <v>32</v>
      </c>
      <c r="D33" s="600" t="s">
        <v>172</v>
      </c>
      <c r="E33" s="340" t="s">
        <v>377</v>
      </c>
    </row>
    <row r="34" spans="2:5" ht="12.75">
      <c r="B34" s="100" t="s">
        <v>276</v>
      </c>
      <c r="C34" s="604">
        <f>19.6+14.15+4.8+1.5</f>
        <v>40.05</v>
      </c>
      <c r="D34" s="601">
        <f>C34</f>
        <v>40.05</v>
      </c>
      <c r="E34" s="602">
        <f>D34/2</f>
        <v>20.025</v>
      </c>
    </row>
    <row r="35" spans="2:5" ht="13.5" thickBot="1">
      <c r="B35" s="895" t="s">
        <v>0</v>
      </c>
      <c r="C35" s="896"/>
      <c r="D35" s="608">
        <f>C34</f>
        <v>40.05</v>
      </c>
      <c r="E35" s="603">
        <f>D35/2</f>
        <v>20.025</v>
      </c>
    </row>
    <row r="36" spans="2:4" ht="13.5" thickBot="1">
      <c r="B36" s="48"/>
      <c r="C36" s="91"/>
      <c r="D36" s="91"/>
    </row>
    <row r="37" spans="2:5" ht="16.5" thickBot="1">
      <c r="B37" s="892" t="s">
        <v>379</v>
      </c>
      <c r="C37" s="893"/>
      <c r="D37" s="893"/>
      <c r="E37" s="894"/>
    </row>
    <row r="38" spans="2:5" ht="13.5" thickBot="1">
      <c r="B38" s="598" t="s">
        <v>24</v>
      </c>
      <c r="C38" s="599" t="s">
        <v>27</v>
      </c>
      <c r="D38" s="600" t="s">
        <v>6</v>
      </c>
      <c r="E38" s="340" t="s">
        <v>377</v>
      </c>
    </row>
    <row r="39" spans="2:5" ht="12.75">
      <c r="B39" s="338" t="s">
        <v>65</v>
      </c>
      <c r="C39" s="339">
        <v>146.63</v>
      </c>
      <c r="D39" s="438">
        <f>C39</f>
        <v>146.63</v>
      </c>
      <c r="E39" s="609">
        <f>D39/2</f>
        <v>73.315</v>
      </c>
    </row>
    <row r="40" spans="2:5" ht="12.75">
      <c r="B40" s="596" t="s">
        <v>216</v>
      </c>
      <c r="C40" s="337">
        <v>9.8</v>
      </c>
      <c r="D40" s="439">
        <v>10.89</v>
      </c>
      <c r="E40" s="610">
        <f>D40/2</f>
        <v>5.445</v>
      </c>
    </row>
    <row r="41" spans="2:5" ht="13.5" thickBot="1">
      <c r="B41" s="597" t="s">
        <v>216</v>
      </c>
      <c r="C41" s="441">
        <v>9.7</v>
      </c>
      <c r="D41" s="440">
        <f>C41</f>
        <v>9.7</v>
      </c>
      <c r="E41" s="611">
        <f>D41/2</f>
        <v>4.85</v>
      </c>
    </row>
    <row r="42" spans="2:5" ht="13.5" thickBot="1">
      <c r="B42" s="605" t="s">
        <v>0</v>
      </c>
      <c r="C42" s="606"/>
      <c r="D42" s="608">
        <f>SUM(D39:D41)</f>
        <v>167.21999999999997</v>
      </c>
      <c r="E42" s="442">
        <f>SUM(E39:E41)</f>
        <v>83.60999999999999</v>
      </c>
    </row>
    <row r="43" spans="2:5" ht="12.75">
      <c r="B43" s="48"/>
      <c r="C43" s="91"/>
      <c r="D43" s="91"/>
      <c r="E43" s="91"/>
    </row>
    <row r="44" spans="2:6" ht="12.75">
      <c r="B44" s="101"/>
      <c r="C44" s="91"/>
      <c r="D44" s="102"/>
      <c r="E44" s="102"/>
      <c r="F44" s="102"/>
    </row>
    <row r="45" spans="1:7" ht="35.25" customHeight="1">
      <c r="A45" s="902" t="s">
        <v>224</v>
      </c>
      <c r="B45" s="902"/>
      <c r="C45" s="902"/>
      <c r="D45" s="902"/>
      <c r="E45" s="902"/>
      <c r="F45" s="902"/>
      <c r="G45" s="613"/>
    </row>
  </sheetData>
  <sheetProtection/>
  <mergeCells count="15">
    <mergeCell ref="B4:F4"/>
    <mergeCell ref="B5:F5"/>
    <mergeCell ref="B6:F6"/>
    <mergeCell ref="B25:C25"/>
    <mergeCell ref="B22:E22"/>
    <mergeCell ref="B14:E14"/>
    <mergeCell ref="B11:C11"/>
    <mergeCell ref="B32:E32"/>
    <mergeCell ref="B35:C35"/>
    <mergeCell ref="A7:F7"/>
    <mergeCell ref="D11:E11"/>
    <mergeCell ref="B37:E37"/>
    <mergeCell ref="A45:F45"/>
    <mergeCell ref="B27:E27"/>
    <mergeCell ref="B30:C30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5" r:id="rId1"/>
  <headerFoot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2:AN99"/>
  <sheetViews>
    <sheetView view="pageBreakPreview" zoomScale="145" zoomScaleSheetLayoutView="145" zoomScalePageLayoutView="0" workbookViewId="0" topLeftCell="A13">
      <selection activeCell="H31" sqref="H31"/>
    </sheetView>
  </sheetViews>
  <sheetFormatPr defaultColWidth="9.140625" defaultRowHeight="12.75"/>
  <cols>
    <col min="1" max="1" width="9.140625" style="7" customWidth="1"/>
    <col min="2" max="2" width="0.5625" style="7" customWidth="1"/>
    <col min="3" max="3" width="9.140625" style="25" hidden="1" customWidth="1"/>
    <col min="4" max="4" width="9.140625" style="97" customWidth="1"/>
    <col min="5" max="5" width="27.57421875" style="161" customWidth="1"/>
    <col min="6" max="6" width="13.57421875" style="90" customWidth="1"/>
    <col min="7" max="7" width="6.57421875" style="90" customWidth="1"/>
    <col min="8" max="8" width="28.140625" style="90" customWidth="1"/>
    <col min="9" max="9" width="11.57421875" style="90" bestFit="1" customWidth="1"/>
    <col min="10" max="10" width="12.7109375" style="90" customWidth="1"/>
    <col min="11" max="11" width="12.7109375" style="159" customWidth="1"/>
    <col min="12" max="13" width="9.140625" style="25" customWidth="1"/>
    <col min="14" max="40" width="9.140625" style="7" customWidth="1"/>
  </cols>
  <sheetData>
    <row r="2" spans="5:14" ht="12.75">
      <c r="E2" s="920"/>
      <c r="F2" s="920"/>
      <c r="G2" s="920"/>
      <c r="H2" s="920"/>
      <c r="I2" s="920"/>
      <c r="N2" s="25"/>
    </row>
    <row r="3" spans="5:14" ht="12.75">
      <c r="E3" s="920"/>
      <c r="F3" s="920"/>
      <c r="G3" s="920"/>
      <c r="H3" s="920"/>
      <c r="I3" s="920"/>
      <c r="N3" s="25"/>
    </row>
    <row r="4" ht="13.5" thickBot="1"/>
    <row r="5" spans="5:11" ht="18.75" thickBot="1">
      <c r="E5" s="921" t="s">
        <v>274</v>
      </c>
      <c r="F5" s="922"/>
      <c r="G5" s="922"/>
      <c r="H5" s="922"/>
      <c r="I5" s="923"/>
      <c r="J5" s="163"/>
      <c r="K5" s="160"/>
    </row>
    <row r="6" spans="5:9" ht="12.75">
      <c r="E6" s="292"/>
      <c r="F6" s="23"/>
      <c r="G6" s="23"/>
      <c r="H6" s="23"/>
      <c r="I6" s="23"/>
    </row>
    <row r="7" spans="5:9" ht="13.5" thickBot="1">
      <c r="E7" s="292"/>
      <c r="F7" s="23"/>
      <c r="G7" s="23"/>
      <c r="H7" s="23"/>
      <c r="I7" s="23"/>
    </row>
    <row r="8" spans="5:9" ht="12.75">
      <c r="E8" s="855" t="s">
        <v>395</v>
      </c>
      <c r="F8" s="856"/>
      <c r="G8" s="856"/>
      <c r="H8" s="856"/>
      <c r="I8" s="857"/>
    </row>
    <row r="9" spans="5:9" ht="12.75">
      <c r="E9" s="411" t="s">
        <v>24</v>
      </c>
      <c r="F9" s="464" t="s">
        <v>32</v>
      </c>
      <c r="G9" s="464" t="s">
        <v>33</v>
      </c>
      <c r="H9" s="464" t="s">
        <v>184</v>
      </c>
      <c r="I9" s="472" t="s">
        <v>6</v>
      </c>
    </row>
    <row r="10" spans="5:10" ht="24.75" customHeight="1">
      <c r="E10" s="475" t="s">
        <v>393</v>
      </c>
      <c r="F10" s="465">
        <v>0.5</v>
      </c>
      <c r="G10" s="465">
        <v>0.6</v>
      </c>
      <c r="H10" s="466" t="s">
        <v>397</v>
      </c>
      <c r="I10" s="476">
        <f>F10*G10</f>
        <v>0.3</v>
      </c>
      <c r="J10" s="165"/>
    </row>
    <row r="11" spans="5:10" ht="24.75" customHeight="1">
      <c r="E11" s="475" t="s">
        <v>396</v>
      </c>
      <c r="F11" s="465">
        <v>0.5</v>
      </c>
      <c r="G11" s="629">
        <v>0.6</v>
      </c>
      <c r="H11" s="466" t="s">
        <v>397</v>
      </c>
      <c r="I11" s="476">
        <f>F11*G11</f>
        <v>0.3</v>
      </c>
      <c r="J11" s="165"/>
    </row>
    <row r="12" spans="5:10" ht="12" customHeight="1" thickBot="1">
      <c r="E12" s="927" t="s">
        <v>402</v>
      </c>
      <c r="F12" s="928"/>
      <c r="G12" s="928"/>
      <c r="H12" s="928"/>
      <c r="I12" s="630">
        <f>SUM(I10:I11)</f>
        <v>0.6</v>
      </c>
      <c r="J12" s="165"/>
    </row>
    <row r="13" spans="5:10" ht="12" customHeight="1" thickBot="1">
      <c r="E13" s="631"/>
      <c r="F13" s="631"/>
      <c r="G13" s="631"/>
      <c r="H13" s="631"/>
      <c r="I13" s="632"/>
      <c r="J13" s="165"/>
    </row>
    <row r="14" spans="5:10" ht="12" customHeight="1">
      <c r="E14" s="855" t="s">
        <v>395</v>
      </c>
      <c r="F14" s="856"/>
      <c r="G14" s="856"/>
      <c r="H14" s="856"/>
      <c r="I14" s="857"/>
      <c r="J14" s="165"/>
    </row>
    <row r="15" spans="5:10" ht="12" customHeight="1">
      <c r="E15" s="411" t="s">
        <v>24</v>
      </c>
      <c r="F15" s="464" t="s">
        <v>32</v>
      </c>
      <c r="G15" s="464" t="s">
        <v>33</v>
      </c>
      <c r="H15" s="464" t="s">
        <v>184</v>
      </c>
      <c r="I15" s="472" t="s">
        <v>6</v>
      </c>
      <c r="J15" s="165"/>
    </row>
    <row r="16" spans="5:10" ht="26.25" customHeight="1">
      <c r="E16" s="634" t="s">
        <v>399</v>
      </c>
      <c r="F16" s="465">
        <v>0.8</v>
      </c>
      <c r="G16" s="465">
        <v>0.6</v>
      </c>
      <c r="H16" s="633" t="s">
        <v>400</v>
      </c>
      <c r="I16" s="476">
        <f>F16*G16</f>
        <v>0.48</v>
      </c>
      <c r="J16" s="165"/>
    </row>
    <row r="17" spans="5:10" ht="24" customHeight="1">
      <c r="E17" s="634" t="s">
        <v>239</v>
      </c>
      <c r="F17" s="465">
        <v>0.8</v>
      </c>
      <c r="G17" s="629">
        <v>0.6</v>
      </c>
      <c r="H17" s="633" t="s">
        <v>400</v>
      </c>
      <c r="I17" s="476">
        <f>F17*G17</f>
        <v>0.48</v>
      </c>
      <c r="J17" s="165"/>
    </row>
    <row r="18" spans="5:10" ht="12" customHeight="1" thickBot="1">
      <c r="E18" s="927" t="s">
        <v>401</v>
      </c>
      <c r="F18" s="928"/>
      <c r="G18" s="928"/>
      <c r="H18" s="928"/>
      <c r="I18" s="630">
        <f>SUM(I16:I17)</f>
        <v>0.96</v>
      </c>
      <c r="J18" s="165"/>
    </row>
    <row r="19" spans="5:10" ht="12" customHeight="1">
      <c r="E19" s="631"/>
      <c r="F19" s="631"/>
      <c r="G19" s="631"/>
      <c r="H19" s="631"/>
      <c r="I19" s="632"/>
      <c r="J19" s="165"/>
    </row>
    <row r="20" spans="1:40" s="3" customFormat="1" ht="24.75" customHeight="1" thickBot="1">
      <c r="A20" s="119"/>
      <c r="B20" s="119"/>
      <c r="C20" s="26"/>
      <c r="D20" s="187"/>
      <c r="E20" s="293"/>
      <c r="F20" s="233"/>
      <c r="G20" s="233"/>
      <c r="H20" s="188"/>
      <c r="I20" s="233"/>
      <c r="J20" s="117"/>
      <c r="K20" s="116"/>
      <c r="L20" s="26"/>
      <c r="M20" s="26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</row>
    <row r="21" spans="5:9" ht="12.75">
      <c r="E21" s="855" t="s">
        <v>394</v>
      </c>
      <c r="F21" s="857"/>
      <c r="G21" s="23"/>
      <c r="H21" s="910" t="s">
        <v>240</v>
      </c>
      <c r="I21" s="911"/>
    </row>
    <row r="22" spans="5:9" ht="12.75">
      <c r="E22" s="411" t="s">
        <v>24</v>
      </c>
      <c r="F22" s="472" t="s">
        <v>34</v>
      </c>
      <c r="G22" s="23"/>
      <c r="H22" s="411" t="str">
        <f>E22</f>
        <v>Local</v>
      </c>
      <c r="I22" s="468" t="str">
        <f>F22</f>
        <v>Quantidade</v>
      </c>
    </row>
    <row r="23" spans="5:9" ht="12.75">
      <c r="E23" s="473" t="str">
        <f>E10</f>
        <v>SANITÁRIO CONSULTÓRIO II</v>
      </c>
      <c r="F23" s="474">
        <v>1</v>
      </c>
      <c r="G23" s="353"/>
      <c r="H23" s="469" t="str">
        <f>E23</f>
        <v>SANITÁRIO CONSULTÓRIO II</v>
      </c>
      <c r="I23" s="470">
        <v>2</v>
      </c>
    </row>
    <row r="24" spans="5:9" ht="12.75">
      <c r="E24" s="473" t="s">
        <v>238</v>
      </c>
      <c r="F24" s="474">
        <v>1</v>
      </c>
      <c r="G24" s="354"/>
      <c r="H24" s="469" t="str">
        <f>E24</f>
        <v>SANITÁRIO MASCULINO</v>
      </c>
      <c r="I24" s="470">
        <v>2</v>
      </c>
    </row>
    <row r="25" spans="5:9" ht="12.75">
      <c r="E25" s="473" t="s">
        <v>398</v>
      </c>
      <c r="F25" s="474">
        <v>1</v>
      </c>
      <c r="G25" s="354"/>
      <c r="H25" s="469" t="str">
        <f>E25</f>
        <v>SANITÁRIO FEMININO </v>
      </c>
      <c r="I25" s="470">
        <v>2</v>
      </c>
    </row>
    <row r="26" spans="5:9" ht="13.5" thickBot="1">
      <c r="E26" s="471" t="s">
        <v>0</v>
      </c>
      <c r="F26" s="652">
        <f>SUM(F23:F25)</f>
        <v>3</v>
      </c>
      <c r="G26" s="354"/>
      <c r="H26" s="471" t="s">
        <v>0</v>
      </c>
      <c r="I26" s="653">
        <f>SUM(I23:I25)</f>
        <v>6</v>
      </c>
    </row>
    <row r="27" spans="4:9" ht="12.75">
      <c r="D27" s="187"/>
      <c r="E27" s="353"/>
      <c r="F27" s="360"/>
      <c r="G27" s="354"/>
      <c r="H27" s="353"/>
      <c r="I27" s="204"/>
    </row>
    <row r="28" spans="4:9" ht="13.5" thickBot="1">
      <c r="D28" s="187"/>
      <c r="E28" s="292"/>
      <c r="F28" s="23"/>
      <c r="G28" s="23"/>
      <c r="H28" s="23"/>
      <c r="I28" s="204"/>
    </row>
    <row r="29" spans="4:9" ht="12.75">
      <c r="D29" s="187"/>
      <c r="E29" s="914" t="s">
        <v>272</v>
      </c>
      <c r="F29" s="915"/>
      <c r="G29" s="916"/>
      <c r="H29" s="467"/>
      <c r="I29" s="344"/>
    </row>
    <row r="30" spans="4:9" ht="12.75">
      <c r="D30" s="187"/>
      <c r="E30" s="924" t="s">
        <v>275</v>
      </c>
      <c r="F30" s="925"/>
      <c r="G30" s="926"/>
      <c r="H30" s="336"/>
      <c r="I30" s="204"/>
    </row>
    <row r="31" spans="4:9" ht="12.75">
      <c r="D31" s="187"/>
      <c r="E31" s="912" t="s">
        <v>420</v>
      </c>
      <c r="F31" s="913"/>
      <c r="G31" s="651">
        <v>21.2</v>
      </c>
      <c r="H31" s="3"/>
      <c r="I31" s="204"/>
    </row>
    <row r="32" spans="4:9" ht="12.75">
      <c r="D32" s="187"/>
      <c r="E32" s="912" t="s">
        <v>269</v>
      </c>
      <c r="F32" s="913"/>
      <c r="G32" s="651">
        <v>16.2</v>
      </c>
      <c r="H32" s="3"/>
      <c r="I32" s="204"/>
    </row>
    <row r="33" spans="4:9" ht="12.75">
      <c r="D33" s="187"/>
      <c r="E33" s="912" t="s">
        <v>273</v>
      </c>
      <c r="F33" s="913"/>
      <c r="G33" s="651">
        <v>32.98</v>
      </c>
      <c r="H33" s="3"/>
      <c r="I33" s="343"/>
    </row>
    <row r="34" spans="4:9" ht="12.75">
      <c r="D34" s="187"/>
      <c r="E34" s="917" t="s">
        <v>284</v>
      </c>
      <c r="F34" s="918"/>
      <c r="G34" s="919"/>
      <c r="H34" s="336"/>
      <c r="I34" s="204"/>
    </row>
    <row r="35" spans="4:9" ht="12.75">
      <c r="D35" s="187"/>
      <c r="E35" s="906" t="s">
        <v>283</v>
      </c>
      <c r="F35" s="907"/>
      <c r="G35" s="635" t="s">
        <v>403</v>
      </c>
      <c r="H35" s="3"/>
      <c r="I35" s="204"/>
    </row>
    <row r="36" spans="4:9" ht="12.75">
      <c r="D36" s="187"/>
      <c r="E36" s="906" t="s">
        <v>290</v>
      </c>
      <c r="F36" s="907"/>
      <c r="G36" s="635" t="s">
        <v>271</v>
      </c>
      <c r="I36" s="204"/>
    </row>
    <row r="37" spans="4:9" ht="12.75">
      <c r="D37" s="187"/>
      <c r="E37" s="906" t="s">
        <v>406</v>
      </c>
      <c r="F37" s="907"/>
      <c r="G37" s="635" t="s">
        <v>286</v>
      </c>
      <c r="I37" s="204"/>
    </row>
    <row r="38" spans="4:9" ht="12.75">
      <c r="D38" s="187"/>
      <c r="E38" s="906" t="s">
        <v>404</v>
      </c>
      <c r="F38" s="907"/>
      <c r="G38" s="635" t="s">
        <v>405</v>
      </c>
      <c r="I38" s="204"/>
    </row>
    <row r="39" spans="4:10" ht="12.75">
      <c r="D39" s="187"/>
      <c r="E39" s="639" t="s">
        <v>291</v>
      </c>
      <c r="F39" s="640"/>
      <c r="G39" s="641"/>
      <c r="H39" s="349"/>
      <c r="I39" s="349"/>
      <c r="J39" s="52"/>
    </row>
    <row r="40" spans="4:10" ht="16.5" thickBot="1">
      <c r="D40" s="187"/>
      <c r="E40" s="636" t="s">
        <v>292</v>
      </c>
      <c r="F40" s="637"/>
      <c r="G40" s="638" t="s">
        <v>407</v>
      </c>
      <c r="H40" s="909"/>
      <c r="I40" s="909"/>
      <c r="J40" s="52"/>
    </row>
    <row r="41" spans="4:10" ht="12.75">
      <c r="D41" s="187"/>
      <c r="E41" s="347"/>
      <c r="F41" s="348"/>
      <c r="G41" s="348"/>
      <c r="H41" s="349"/>
      <c r="I41" s="349"/>
      <c r="J41" s="52"/>
    </row>
    <row r="42" spans="4:10" ht="12.75">
      <c r="D42" s="187"/>
      <c r="E42" s="347"/>
      <c r="F42" s="348"/>
      <c r="G42" s="348"/>
      <c r="H42" s="348"/>
      <c r="I42" s="347"/>
      <c r="J42" s="52"/>
    </row>
    <row r="43" spans="4:10" ht="12.75">
      <c r="D43" s="187"/>
      <c r="E43" s="347"/>
      <c r="F43" s="348"/>
      <c r="G43" s="348"/>
      <c r="H43" s="348"/>
      <c r="I43" s="347"/>
      <c r="J43" s="52"/>
    </row>
    <row r="44" spans="4:10" ht="12.75">
      <c r="D44" s="187"/>
      <c r="E44" s="347"/>
      <c r="F44" s="348"/>
      <c r="G44" s="348"/>
      <c r="H44" s="348"/>
      <c r="I44" s="347"/>
      <c r="J44" s="52"/>
    </row>
    <row r="45" spans="5:10" ht="12.75">
      <c r="E45" s="347"/>
      <c r="F45" s="348"/>
      <c r="G45" s="348"/>
      <c r="H45" s="348"/>
      <c r="I45" s="347"/>
      <c r="J45" s="52"/>
    </row>
    <row r="46" spans="5:10" ht="12.75">
      <c r="E46" s="350"/>
      <c r="F46" s="351"/>
      <c r="G46" s="349"/>
      <c r="H46" s="348"/>
      <c r="I46" s="347"/>
      <c r="J46" s="52"/>
    </row>
    <row r="47" spans="5:10" ht="12.75">
      <c r="E47" s="352"/>
      <c r="F47" s="349"/>
      <c r="G47" s="349"/>
      <c r="H47" s="348"/>
      <c r="I47" s="347"/>
      <c r="J47" s="52"/>
    </row>
    <row r="48" spans="5:10" ht="12.75">
      <c r="E48" s="352"/>
      <c r="F48" s="349"/>
      <c r="G48" s="349"/>
      <c r="H48" s="348"/>
      <c r="I48" s="348"/>
      <c r="J48" s="52"/>
    </row>
    <row r="49" spans="4:11" ht="15.75">
      <c r="D49" s="187"/>
      <c r="E49" s="909"/>
      <c r="F49" s="909"/>
      <c r="G49" s="349"/>
      <c r="H49" s="349"/>
      <c r="I49" s="351"/>
      <c r="J49" s="52"/>
      <c r="K49" s="116"/>
    </row>
    <row r="50" spans="4:11" ht="12.75">
      <c r="D50" s="187"/>
      <c r="E50" s="349"/>
      <c r="F50" s="349"/>
      <c r="G50" s="349"/>
      <c r="H50" s="349"/>
      <c r="I50" s="349"/>
      <c r="J50" s="52"/>
      <c r="K50" s="116"/>
    </row>
    <row r="51" spans="4:11" ht="12.75">
      <c r="D51" s="187"/>
      <c r="E51" s="347"/>
      <c r="F51" s="348"/>
      <c r="G51" s="349"/>
      <c r="H51" s="349"/>
      <c r="I51" s="349"/>
      <c r="J51" s="52"/>
      <c r="K51" s="116"/>
    </row>
    <row r="52" spans="4:11" ht="15.75">
      <c r="D52" s="187"/>
      <c r="E52" s="346"/>
      <c r="F52" s="82"/>
      <c r="G52" s="52"/>
      <c r="H52" s="908"/>
      <c r="I52" s="908"/>
      <c r="J52" s="52"/>
      <c r="K52" s="116"/>
    </row>
    <row r="53" spans="4:11" ht="12.75">
      <c r="D53" s="187"/>
      <c r="E53" s="346"/>
      <c r="F53" s="82"/>
      <c r="G53" s="52"/>
      <c r="H53" s="52"/>
      <c r="I53" s="52"/>
      <c r="J53" s="52"/>
      <c r="K53" s="116"/>
    </row>
    <row r="54" spans="4:11" ht="12.75">
      <c r="D54" s="187"/>
      <c r="E54" s="346"/>
      <c r="F54" s="82"/>
      <c r="G54" s="52"/>
      <c r="H54" s="82"/>
      <c r="I54" s="82"/>
      <c r="J54" s="52"/>
      <c r="K54" s="116"/>
    </row>
    <row r="55" spans="4:11" ht="12.75">
      <c r="D55" s="187"/>
      <c r="E55" s="162"/>
      <c r="F55" s="345"/>
      <c r="G55" s="52"/>
      <c r="H55" s="82"/>
      <c r="I55" s="82"/>
      <c r="J55" s="52"/>
      <c r="K55" s="116"/>
    </row>
    <row r="56" spans="4:11" ht="12.75">
      <c r="D56" s="187"/>
      <c r="E56" s="162"/>
      <c r="F56" s="52"/>
      <c r="G56" s="52"/>
      <c r="H56" s="82"/>
      <c r="I56" s="82"/>
      <c r="J56" s="52"/>
      <c r="K56" s="116"/>
    </row>
    <row r="57" spans="4:11" ht="12.75">
      <c r="D57" s="187"/>
      <c r="E57" s="162"/>
      <c r="F57" s="52"/>
      <c r="G57" s="52"/>
      <c r="H57" s="82"/>
      <c r="I57" s="82"/>
      <c r="J57" s="52"/>
      <c r="K57" s="116"/>
    </row>
    <row r="58" spans="4:11" ht="15.75">
      <c r="D58" s="187"/>
      <c r="E58" s="908"/>
      <c r="F58" s="908"/>
      <c r="G58" s="52"/>
      <c r="H58" s="82"/>
      <c r="I58" s="82"/>
      <c r="J58" s="52"/>
      <c r="K58" s="116"/>
    </row>
    <row r="59" spans="4:11" ht="12.75">
      <c r="D59" s="187"/>
      <c r="E59" s="52"/>
      <c r="F59" s="52"/>
      <c r="G59" s="52"/>
      <c r="H59" s="82"/>
      <c r="I59" s="82"/>
      <c r="J59" s="52"/>
      <c r="K59" s="116"/>
    </row>
    <row r="60" spans="4:11" ht="12.75">
      <c r="D60" s="187"/>
      <c r="E60" s="346"/>
      <c r="F60" s="82"/>
      <c r="G60" s="52"/>
      <c r="H60" s="52"/>
      <c r="I60" s="345"/>
      <c r="J60" s="52"/>
      <c r="K60" s="116"/>
    </row>
    <row r="61" spans="4:11" ht="12.75">
      <c r="D61" s="187"/>
      <c r="E61" s="346"/>
      <c r="F61" s="82"/>
      <c r="G61" s="52"/>
      <c r="H61" s="52"/>
      <c r="I61" s="52"/>
      <c r="J61" s="52"/>
      <c r="K61" s="116"/>
    </row>
    <row r="62" spans="4:11" ht="12.75">
      <c r="D62" s="187"/>
      <c r="E62" s="346"/>
      <c r="F62" s="82"/>
      <c r="G62" s="52"/>
      <c r="H62" s="52"/>
      <c r="I62" s="52"/>
      <c r="J62" s="52"/>
      <c r="K62" s="116"/>
    </row>
    <row r="63" spans="5:11" ht="12.75">
      <c r="E63" s="346"/>
      <c r="F63" s="82"/>
      <c r="G63" s="52"/>
      <c r="H63" s="52"/>
      <c r="I63" s="52"/>
      <c r="J63" s="52"/>
      <c r="K63" s="159">
        <v>5</v>
      </c>
    </row>
    <row r="64" spans="5:10" ht="12.75">
      <c r="E64" s="346"/>
      <c r="F64" s="82"/>
      <c r="G64" s="52"/>
      <c r="H64" s="52"/>
      <c r="I64" s="52"/>
      <c r="J64" s="52"/>
    </row>
    <row r="65" spans="5:10" ht="12.75">
      <c r="E65" s="346"/>
      <c r="F65" s="82"/>
      <c r="G65" s="52"/>
      <c r="H65" s="52"/>
      <c r="I65" s="52"/>
      <c r="J65" s="52"/>
    </row>
    <row r="66" spans="5:10" ht="12.75">
      <c r="E66" s="162"/>
      <c r="F66" s="345"/>
      <c r="G66" s="52"/>
      <c r="H66" s="52"/>
      <c r="I66" s="52"/>
      <c r="J66" s="52"/>
    </row>
    <row r="67" spans="5:10" ht="12.75">
      <c r="E67" s="155"/>
      <c r="F67" s="52"/>
      <c r="G67" s="52"/>
      <c r="H67" s="52"/>
      <c r="I67" s="52"/>
      <c r="J67" s="52"/>
    </row>
    <row r="68" spans="5:10" ht="12.75">
      <c r="E68" s="155"/>
      <c r="F68" s="52"/>
      <c r="G68" s="52"/>
      <c r="H68" s="52"/>
      <c r="I68" s="52"/>
      <c r="J68" s="52"/>
    </row>
    <row r="69" spans="5:10" ht="15.75">
      <c r="E69" s="47"/>
      <c r="F69" s="47"/>
      <c r="G69" s="47"/>
      <c r="H69" s="52"/>
      <c r="I69" s="52"/>
      <c r="J69" s="52"/>
    </row>
    <row r="70" spans="5:10" ht="12.75">
      <c r="E70" s="52"/>
      <c r="F70" s="52"/>
      <c r="G70" s="52"/>
      <c r="H70" s="52"/>
      <c r="I70" s="52"/>
      <c r="J70" s="52"/>
    </row>
    <row r="71" spans="5:10" ht="12.75">
      <c r="E71" s="346"/>
      <c r="F71" s="82"/>
      <c r="G71" s="82"/>
      <c r="H71" s="52"/>
      <c r="I71" s="52"/>
      <c r="J71" s="52"/>
    </row>
    <row r="72" spans="5:10" ht="15.75">
      <c r="E72" s="346"/>
      <c r="F72" s="82"/>
      <c r="G72" s="82"/>
      <c r="H72" s="47"/>
      <c r="I72" s="47"/>
      <c r="J72" s="52"/>
    </row>
    <row r="73" spans="5:10" ht="12.75">
      <c r="E73" s="346"/>
      <c r="F73" s="82"/>
      <c r="G73" s="82"/>
      <c r="H73" s="52"/>
      <c r="I73" s="52"/>
      <c r="J73" s="52"/>
    </row>
    <row r="74" spans="5:10" ht="12.75">
      <c r="E74" s="346"/>
      <c r="F74" s="82"/>
      <c r="G74" s="82"/>
      <c r="H74" s="188"/>
      <c r="I74" s="82"/>
      <c r="J74" s="52"/>
    </row>
    <row r="75" spans="5:10" ht="12.75">
      <c r="E75" s="346"/>
      <c r="F75" s="82"/>
      <c r="G75" s="82"/>
      <c r="H75" s="188"/>
      <c r="I75" s="82"/>
      <c r="J75" s="52"/>
    </row>
    <row r="76" spans="5:10" ht="12.75">
      <c r="E76" s="346"/>
      <c r="F76" s="82"/>
      <c r="G76" s="82"/>
      <c r="H76" s="188"/>
      <c r="I76" s="82"/>
      <c r="J76" s="52"/>
    </row>
    <row r="77" spans="5:10" ht="12.75">
      <c r="E77" s="346"/>
      <c r="F77" s="82"/>
      <c r="G77" s="82"/>
      <c r="H77" s="188"/>
      <c r="I77" s="82"/>
      <c r="J77" s="52"/>
    </row>
    <row r="78" spans="5:10" ht="12.75">
      <c r="E78" s="346"/>
      <c r="F78" s="82"/>
      <c r="G78" s="82"/>
      <c r="H78" s="188"/>
      <c r="I78" s="82"/>
      <c r="J78" s="52"/>
    </row>
    <row r="79" spans="5:10" ht="12.75">
      <c r="E79" s="346"/>
      <c r="F79" s="82"/>
      <c r="G79" s="82"/>
      <c r="H79" s="188"/>
      <c r="I79" s="82"/>
      <c r="J79" s="52"/>
    </row>
    <row r="80" spans="5:10" ht="12.75">
      <c r="E80" s="346"/>
      <c r="F80" s="82"/>
      <c r="G80" s="82"/>
      <c r="H80" s="188"/>
      <c r="I80" s="82"/>
      <c r="J80" s="52"/>
    </row>
    <row r="81" spans="5:10" ht="12.75">
      <c r="E81" s="52"/>
      <c r="F81" s="52"/>
      <c r="G81" s="52"/>
      <c r="H81" s="188"/>
      <c r="I81" s="82"/>
      <c r="J81" s="52"/>
    </row>
    <row r="82" spans="5:10" ht="12.75">
      <c r="E82" s="155"/>
      <c r="F82" s="52"/>
      <c r="G82" s="52"/>
      <c r="H82" s="188"/>
      <c r="I82" s="82"/>
      <c r="J82" s="52"/>
    </row>
    <row r="83" spans="5:10" ht="12.75">
      <c r="E83" s="155"/>
      <c r="F83" s="52"/>
      <c r="G83" s="52"/>
      <c r="H83" s="188"/>
      <c r="I83" s="82"/>
      <c r="J83" s="52"/>
    </row>
    <row r="84" spans="5:10" ht="15.75">
      <c r="E84" s="908"/>
      <c r="F84" s="908"/>
      <c r="G84" s="52"/>
      <c r="H84" s="52"/>
      <c r="I84" s="345"/>
      <c r="J84" s="52"/>
    </row>
    <row r="85" spans="5:10" ht="12.75">
      <c r="E85" s="52"/>
      <c r="F85" s="52"/>
      <c r="G85" s="52"/>
      <c r="H85" s="52"/>
      <c r="I85" s="52"/>
      <c r="J85" s="52"/>
    </row>
    <row r="86" spans="5:10" ht="12.75">
      <c r="E86" s="346"/>
      <c r="F86" s="82"/>
      <c r="G86" s="52"/>
      <c r="H86" s="52"/>
      <c r="I86" s="52"/>
      <c r="J86" s="52"/>
    </row>
    <row r="87" spans="5:10" ht="15.75">
      <c r="E87" s="346"/>
      <c r="F87" s="82"/>
      <c r="G87" s="52"/>
      <c r="H87" s="908"/>
      <c r="I87" s="908"/>
      <c r="J87" s="52"/>
    </row>
    <row r="88" spans="5:10" ht="12.75">
      <c r="E88" s="346"/>
      <c r="F88" s="82"/>
      <c r="G88" s="52"/>
      <c r="H88" s="52"/>
      <c r="I88" s="52"/>
      <c r="J88" s="52"/>
    </row>
    <row r="89" spans="5:10" ht="12.75">
      <c r="E89" s="346"/>
      <c r="F89" s="82"/>
      <c r="G89" s="52"/>
      <c r="H89" s="82"/>
      <c r="I89" s="346"/>
      <c r="J89" s="52"/>
    </row>
    <row r="90" spans="5:10" ht="12.75">
      <c r="E90" s="346"/>
      <c r="F90" s="82"/>
      <c r="G90" s="52"/>
      <c r="H90" s="82"/>
      <c r="I90" s="346"/>
      <c r="J90" s="52"/>
    </row>
    <row r="91" spans="5:10" ht="12.75">
      <c r="E91" s="346"/>
      <c r="F91" s="82"/>
      <c r="G91" s="52"/>
      <c r="H91" s="82"/>
      <c r="I91" s="346"/>
      <c r="J91" s="52"/>
    </row>
    <row r="92" spans="5:10" ht="12.75">
      <c r="E92" s="346"/>
      <c r="F92" s="82"/>
      <c r="G92" s="52"/>
      <c r="H92" s="82"/>
      <c r="I92" s="346"/>
      <c r="J92" s="52"/>
    </row>
    <row r="93" spans="5:10" ht="12.75">
      <c r="E93" s="162"/>
      <c r="F93" s="345"/>
      <c r="G93" s="52"/>
      <c r="H93" s="82"/>
      <c r="I93" s="346"/>
      <c r="J93" s="52"/>
    </row>
    <row r="94" spans="5:10" ht="12.75">
      <c r="E94" s="155"/>
      <c r="F94" s="52"/>
      <c r="G94" s="52"/>
      <c r="H94" s="82"/>
      <c r="I94" s="346"/>
      <c r="J94" s="52"/>
    </row>
    <row r="95" spans="5:10" ht="12.75">
      <c r="E95" s="52"/>
      <c r="F95" s="52"/>
      <c r="G95" s="52"/>
      <c r="H95" s="82"/>
      <c r="I95" s="82"/>
      <c r="J95" s="52"/>
    </row>
    <row r="96" spans="5:10" ht="12.75">
      <c r="E96" s="155"/>
      <c r="F96" s="52"/>
      <c r="G96" s="52"/>
      <c r="H96" s="52"/>
      <c r="I96" s="345"/>
      <c r="J96" s="52"/>
    </row>
    <row r="97" spans="5:10" ht="12.75">
      <c r="E97" s="155"/>
      <c r="F97" s="52"/>
      <c r="G97" s="52"/>
      <c r="H97" s="52"/>
      <c r="I97" s="52"/>
      <c r="J97" s="52"/>
    </row>
    <row r="98" spans="5:10" ht="12.75">
      <c r="E98" s="155"/>
      <c r="F98" s="52"/>
      <c r="G98" s="52"/>
      <c r="H98" s="52"/>
      <c r="I98" s="345"/>
      <c r="J98" s="52"/>
    </row>
    <row r="99" spans="5:10" ht="12.75">
      <c r="E99" s="155"/>
      <c r="F99" s="52"/>
      <c r="G99" s="52"/>
      <c r="H99" s="52"/>
      <c r="I99" s="52"/>
      <c r="J99" s="52"/>
    </row>
  </sheetData>
  <sheetProtection/>
  <mergeCells count="25">
    <mergeCell ref="E2:I2"/>
    <mergeCell ref="E3:I3"/>
    <mergeCell ref="E5:I5"/>
    <mergeCell ref="E8:I8"/>
    <mergeCell ref="E30:G30"/>
    <mergeCell ref="E33:F33"/>
    <mergeCell ref="E12:H12"/>
    <mergeCell ref="E14:I14"/>
    <mergeCell ref="E18:H18"/>
    <mergeCell ref="E36:F36"/>
    <mergeCell ref="E37:F37"/>
    <mergeCell ref="H40:I40"/>
    <mergeCell ref="E21:F21"/>
    <mergeCell ref="H21:I21"/>
    <mergeCell ref="E31:F31"/>
    <mergeCell ref="E32:F32"/>
    <mergeCell ref="E35:F35"/>
    <mergeCell ref="E29:G29"/>
    <mergeCell ref="E34:G34"/>
    <mergeCell ref="E38:F38"/>
    <mergeCell ref="E58:F58"/>
    <mergeCell ref="E49:F49"/>
    <mergeCell ref="H52:I52"/>
    <mergeCell ref="E84:F84"/>
    <mergeCell ref="H87:I8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50" min="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B2:L56"/>
  <sheetViews>
    <sheetView view="pageBreakPreview" zoomScale="85" zoomScaleSheetLayoutView="85" zoomScalePageLayoutView="0" workbookViewId="0" topLeftCell="A7">
      <selection activeCell="U39" sqref="U39"/>
    </sheetView>
  </sheetViews>
  <sheetFormatPr defaultColWidth="9.140625" defaultRowHeight="12.75"/>
  <cols>
    <col min="3" max="3" width="10.8515625" style="58" customWidth="1"/>
    <col min="4" max="4" width="11.7109375" style="0" customWidth="1"/>
    <col min="5" max="5" width="13.57421875" style="57" customWidth="1"/>
    <col min="6" max="6" width="11.8515625" style="0" customWidth="1"/>
    <col min="7" max="7" width="12.00390625" style="57" customWidth="1"/>
    <col min="8" max="8" width="14.7109375" style="0" customWidth="1"/>
    <col min="9" max="9" width="9.7109375" style="0" customWidth="1"/>
    <col min="10" max="10" width="11.00390625" style="0" customWidth="1"/>
    <col min="11" max="11" width="11.8515625" style="0" customWidth="1"/>
    <col min="12" max="12" width="12.140625" style="0" customWidth="1"/>
  </cols>
  <sheetData>
    <row r="2" spans="3:7" s="3" customFormat="1" ht="12.75">
      <c r="C2" s="169"/>
      <c r="E2" s="98"/>
      <c r="G2" s="98"/>
    </row>
    <row r="3" spans="3:7" s="3" customFormat="1" ht="15">
      <c r="C3" s="209"/>
      <c r="D3" s="210"/>
      <c r="E3" s="211"/>
      <c r="G3" s="98"/>
    </row>
    <row r="4" spans="3:7" s="3" customFormat="1" ht="15">
      <c r="C4" s="209"/>
      <c r="D4" s="210"/>
      <c r="E4" s="211"/>
      <c r="G4" s="98"/>
    </row>
    <row r="5" spans="3:7" s="3" customFormat="1" ht="15">
      <c r="C5" s="209"/>
      <c r="D5" s="210"/>
      <c r="E5" s="211"/>
      <c r="G5" s="98"/>
    </row>
    <row r="6" spans="3:7" s="3" customFormat="1" ht="15">
      <c r="C6" s="209"/>
      <c r="D6" s="210"/>
      <c r="E6" s="211"/>
      <c r="G6" s="98"/>
    </row>
    <row r="14" spans="3:12" ht="15.75">
      <c r="C14" s="929" t="s">
        <v>302</v>
      </c>
      <c r="D14" s="930"/>
      <c r="E14" s="930"/>
      <c r="F14" s="930"/>
      <c r="G14" s="930"/>
      <c r="H14" s="930"/>
      <c r="I14" s="930"/>
      <c r="J14" s="930"/>
      <c r="K14" s="930"/>
      <c r="L14" s="931"/>
    </row>
    <row r="17" spans="3:12" ht="12.75">
      <c r="C17" s="952" t="s">
        <v>63</v>
      </c>
      <c r="D17" s="953"/>
      <c r="E17" s="953"/>
      <c r="F17" s="953"/>
      <c r="G17" s="954"/>
      <c r="H17" s="958" t="s">
        <v>64</v>
      </c>
      <c r="I17" s="953"/>
      <c r="J17" s="953"/>
      <c r="K17" s="953"/>
      <c r="L17" s="959"/>
    </row>
    <row r="18" spans="3:12" ht="12.75">
      <c r="C18" s="955"/>
      <c r="D18" s="956"/>
      <c r="E18" s="956"/>
      <c r="F18" s="956"/>
      <c r="G18" s="957"/>
      <c r="H18" s="960"/>
      <c r="I18" s="956"/>
      <c r="J18" s="956"/>
      <c r="K18" s="956"/>
      <c r="L18" s="961"/>
    </row>
    <row r="19" spans="3:12" ht="39" thickBot="1">
      <c r="C19" s="648" t="s">
        <v>40</v>
      </c>
      <c r="D19" s="648" t="s">
        <v>41</v>
      </c>
      <c r="E19" s="649" t="s">
        <v>42</v>
      </c>
      <c r="F19" s="649" t="s">
        <v>43</v>
      </c>
      <c r="G19" s="648" t="s">
        <v>44</v>
      </c>
      <c r="H19" s="648" t="s">
        <v>41</v>
      </c>
      <c r="I19" s="648" t="s">
        <v>23</v>
      </c>
      <c r="J19" s="649" t="s">
        <v>45</v>
      </c>
      <c r="K19" s="648" t="s">
        <v>49</v>
      </c>
      <c r="L19" s="650" t="s">
        <v>47</v>
      </c>
    </row>
    <row r="20" spans="3:12" ht="15">
      <c r="C20" s="189">
        <v>40</v>
      </c>
      <c r="D20" s="484">
        <f>2.5+5.1+0.15+0.15+0.63+0.63+0.56+0.56+0.49</f>
        <v>10.770000000000003</v>
      </c>
      <c r="E20" s="66">
        <v>0.3</v>
      </c>
      <c r="F20" s="67">
        <v>0.5</v>
      </c>
      <c r="G20" s="333">
        <f>D20*E20*F20</f>
        <v>1.6155000000000004</v>
      </c>
      <c r="H20" s="70">
        <f>D20</f>
        <v>10.770000000000003</v>
      </c>
      <c r="I20" s="63">
        <f>PI()</f>
        <v>3.141592653589793</v>
      </c>
      <c r="J20" s="64">
        <f>(C20/2)/1000</f>
        <v>0.02</v>
      </c>
      <c r="K20" s="65">
        <f>I20*J20^2*H20</f>
        <v>0.013533981151664832</v>
      </c>
      <c r="L20" s="295">
        <f>G20-K20</f>
        <v>1.6019660188483356</v>
      </c>
    </row>
    <row r="21" spans="3:12" ht="15">
      <c r="C21" s="190">
        <v>50</v>
      </c>
      <c r="D21" s="485">
        <f>4+1.28+3+0.3</f>
        <v>8.580000000000002</v>
      </c>
      <c r="E21" s="68">
        <v>0.3</v>
      </c>
      <c r="F21" s="69">
        <v>0.5</v>
      </c>
      <c r="G21" s="296">
        <f>D21*E21*F21</f>
        <v>1.2870000000000001</v>
      </c>
      <c r="H21" s="71">
        <f>D21</f>
        <v>8.580000000000002</v>
      </c>
      <c r="I21" s="60">
        <f>PI()</f>
        <v>3.141592653589793</v>
      </c>
      <c r="J21" s="61">
        <f>(C21/2)/1000</f>
        <v>0.025</v>
      </c>
      <c r="K21" s="62">
        <f>I21*J21^2*H21</f>
        <v>0.016846790604875272</v>
      </c>
      <c r="L21" s="296">
        <f>G21-K21</f>
        <v>1.2701532093951249</v>
      </c>
    </row>
    <row r="22" spans="3:12" ht="15">
      <c r="C22" s="190">
        <v>75</v>
      </c>
      <c r="D22" s="485">
        <v>0.3</v>
      </c>
      <c r="E22" s="68">
        <v>0.3</v>
      </c>
      <c r="F22" s="69">
        <v>0.5</v>
      </c>
      <c r="G22" s="332">
        <f>D22*E22*F22</f>
        <v>0.045</v>
      </c>
      <c r="H22" s="71">
        <f>D22</f>
        <v>0.3</v>
      </c>
      <c r="I22" s="60">
        <f>PI()</f>
        <v>3.141592653589793</v>
      </c>
      <c r="J22" s="61">
        <f>(C22/2)/1000</f>
        <v>0.0375</v>
      </c>
      <c r="K22" s="62">
        <f>I22*J22^2*H22</f>
        <v>0.001325359400733194</v>
      </c>
      <c r="L22" s="296">
        <f>G22-K22</f>
        <v>0.043674640599266804</v>
      </c>
    </row>
    <row r="23" spans="3:12" ht="15">
      <c r="C23" s="190">
        <v>100</v>
      </c>
      <c r="D23" s="485">
        <v>32.26</v>
      </c>
      <c r="E23" s="68">
        <v>0.3</v>
      </c>
      <c r="F23" s="69">
        <v>0.5</v>
      </c>
      <c r="G23" s="294">
        <f>D23*E23*F23</f>
        <v>4.8389999999999995</v>
      </c>
      <c r="H23" s="71">
        <f>D23</f>
        <v>32.26</v>
      </c>
      <c r="I23" s="60">
        <f>PI()</f>
        <v>3.141592653589793</v>
      </c>
      <c r="J23" s="61">
        <f>(C23/2)/1000</f>
        <v>0.05</v>
      </c>
      <c r="K23" s="62">
        <f>I23*J23^2*H23</f>
        <v>0.25336944751201684</v>
      </c>
      <c r="L23" s="296">
        <f>G23-K23</f>
        <v>4.585630552487983</v>
      </c>
    </row>
    <row r="24" spans="3:10" ht="13.5" thickBot="1">
      <c r="C24" s="91" t="s">
        <v>217</v>
      </c>
      <c r="J24" s="284"/>
    </row>
    <row r="25" spans="3:12" ht="12.75">
      <c r="C25" s="59"/>
      <c r="D25" s="56"/>
      <c r="E25" s="943" t="s">
        <v>46</v>
      </c>
      <c r="F25" s="944"/>
      <c r="G25" s="949">
        <f>SUM(G20:G23)</f>
        <v>7.7865</v>
      </c>
      <c r="H25" s="59"/>
      <c r="I25" s="59"/>
      <c r="J25" s="943" t="s">
        <v>48</v>
      </c>
      <c r="K25" s="947"/>
      <c r="L25" s="949">
        <f>SUM(L20:L23)</f>
        <v>7.501424421330709</v>
      </c>
    </row>
    <row r="26" spans="3:12" ht="13.5" thickBot="1">
      <c r="C26" s="59"/>
      <c r="D26" s="56"/>
      <c r="E26" s="945"/>
      <c r="F26" s="946"/>
      <c r="G26" s="950"/>
      <c r="H26" s="59"/>
      <c r="I26" s="59"/>
      <c r="J26" s="945"/>
      <c r="K26" s="948"/>
      <c r="L26" s="951"/>
    </row>
    <row r="28" ht="13.5" thickBot="1"/>
    <row r="29" spans="3:5" ht="13.5" thickBot="1">
      <c r="C29" s="970" t="s">
        <v>60</v>
      </c>
      <c r="D29" s="971"/>
      <c r="E29" s="972"/>
    </row>
    <row r="30" spans="3:5" ht="18">
      <c r="C30" s="114" t="s">
        <v>57</v>
      </c>
      <c r="D30" s="111"/>
      <c r="E30" s="110">
        <v>0.6</v>
      </c>
    </row>
    <row r="31" spans="3:11" ht="18">
      <c r="C31" s="115" t="s">
        <v>58</v>
      </c>
      <c r="D31" s="112"/>
      <c r="E31" s="108">
        <v>0.3</v>
      </c>
      <c r="J31" s="3"/>
      <c r="K31" s="3"/>
    </row>
    <row r="32" spans="3:11" ht="18">
      <c r="C32" s="115" t="s">
        <v>59</v>
      </c>
      <c r="D32" s="112"/>
      <c r="E32" s="108">
        <v>0.6</v>
      </c>
      <c r="J32" s="3"/>
      <c r="K32" s="3"/>
    </row>
    <row r="33" spans="3:11" ht="16.5" thickBot="1">
      <c r="C33" s="647" t="s">
        <v>69</v>
      </c>
      <c r="D33" s="113"/>
      <c r="E33" s="109">
        <v>3.2</v>
      </c>
      <c r="J33" s="3"/>
      <c r="K33" s="3"/>
    </row>
    <row r="34" spans="3:11" ht="18">
      <c r="C34" s="177"/>
      <c r="D34" s="3"/>
      <c r="E34" s="178"/>
      <c r="J34" s="3"/>
      <c r="K34" s="297"/>
    </row>
    <row r="35" spans="10:11" ht="12.75">
      <c r="J35" s="297"/>
      <c r="K35" s="297"/>
    </row>
    <row r="37" ht="13.5" thickBot="1"/>
    <row r="38" spans="2:12" ht="23.25" customHeight="1" thickBot="1">
      <c r="B38" s="3"/>
      <c r="C38" s="934" t="s">
        <v>264</v>
      </c>
      <c r="D38" s="935"/>
      <c r="E38" s="935"/>
      <c r="F38" s="936"/>
      <c r="H38" s="962"/>
      <c r="I38" s="963"/>
      <c r="J38" s="963"/>
      <c r="K38" s="963"/>
      <c r="L38" s="963"/>
    </row>
    <row r="39" spans="2:8" ht="12.75">
      <c r="B39" s="3"/>
      <c r="C39" s="940" t="s">
        <v>263</v>
      </c>
      <c r="D39" s="941"/>
      <c r="E39" s="941"/>
      <c r="F39" s="942"/>
      <c r="H39" s="73"/>
    </row>
    <row r="40" spans="2:6" ht="12.75">
      <c r="B40" s="3"/>
      <c r="C40" s="932" t="s">
        <v>265</v>
      </c>
      <c r="D40" s="932"/>
      <c r="E40" s="933"/>
      <c r="F40" s="335"/>
    </row>
    <row r="41" spans="2:6" ht="12.75">
      <c r="B41" s="3"/>
      <c r="C41" s="964" t="s">
        <v>408</v>
      </c>
      <c r="D41" s="965"/>
      <c r="E41" s="966"/>
      <c r="F41" s="355" t="s">
        <v>271</v>
      </c>
    </row>
    <row r="42" spans="2:6" ht="12.75">
      <c r="B42" s="3"/>
      <c r="C42" s="932" t="s">
        <v>409</v>
      </c>
      <c r="D42" s="932"/>
      <c r="E42" s="933"/>
      <c r="F42" s="356"/>
    </row>
    <row r="43" spans="2:6" ht="12.75">
      <c r="B43" s="3"/>
      <c r="C43" s="964" t="s">
        <v>266</v>
      </c>
      <c r="D43" s="965"/>
      <c r="E43" s="966"/>
      <c r="F43" s="644" t="s">
        <v>414</v>
      </c>
    </row>
    <row r="44" spans="2:10" ht="15.75" customHeight="1">
      <c r="B44" s="3"/>
      <c r="C44" s="964" t="s">
        <v>410</v>
      </c>
      <c r="D44" s="965"/>
      <c r="E44" s="966"/>
      <c r="F44" s="644" t="s">
        <v>271</v>
      </c>
      <c r="G44" s="967" t="s">
        <v>418</v>
      </c>
      <c r="H44" s="968"/>
      <c r="I44" s="968"/>
      <c r="J44" s="969"/>
    </row>
    <row r="45" spans="2:6" ht="17.25" customHeight="1">
      <c r="B45" s="3"/>
      <c r="C45" s="964" t="s">
        <v>411</v>
      </c>
      <c r="D45" s="965"/>
      <c r="E45" s="966"/>
      <c r="F45" s="644" t="s">
        <v>412</v>
      </c>
    </row>
    <row r="46" spans="2:10" ht="12.75">
      <c r="B46" s="3"/>
      <c r="C46" s="937" t="s">
        <v>413</v>
      </c>
      <c r="D46" s="938"/>
      <c r="E46" s="976"/>
      <c r="F46" s="355" t="s">
        <v>285</v>
      </c>
      <c r="J46" s="3"/>
    </row>
    <row r="47" spans="2:6" ht="12.75">
      <c r="B47" s="3"/>
      <c r="C47" s="937" t="s">
        <v>267</v>
      </c>
      <c r="D47" s="938"/>
      <c r="E47" s="938"/>
      <c r="F47" s="939"/>
    </row>
    <row r="48" spans="2:6" ht="12.75">
      <c r="B48" s="3"/>
      <c r="C48" s="964" t="s">
        <v>268</v>
      </c>
      <c r="D48" s="965"/>
      <c r="E48" s="966"/>
      <c r="F48" s="357">
        <v>10.77</v>
      </c>
    </row>
    <row r="49" spans="2:6" ht="12.75">
      <c r="B49" s="3"/>
      <c r="C49" s="964" t="s">
        <v>269</v>
      </c>
      <c r="D49" s="965"/>
      <c r="E49" s="966"/>
      <c r="F49" s="356">
        <v>8.58</v>
      </c>
    </row>
    <row r="50" spans="2:6" ht="12.75">
      <c r="B50" s="3"/>
      <c r="C50" s="964" t="s">
        <v>270</v>
      </c>
      <c r="D50" s="965"/>
      <c r="E50" s="966"/>
      <c r="F50" s="358">
        <v>0.3</v>
      </c>
    </row>
    <row r="51" spans="2:6" ht="12.75">
      <c r="B51" s="3"/>
      <c r="C51" s="964" t="s">
        <v>415</v>
      </c>
      <c r="D51" s="965"/>
      <c r="E51" s="966"/>
      <c r="F51" s="356">
        <v>32.26</v>
      </c>
    </row>
    <row r="52" spans="3:6" ht="12.75">
      <c r="C52" s="964" t="s">
        <v>416</v>
      </c>
      <c r="D52" s="965"/>
      <c r="E52" s="966"/>
      <c r="F52" s="646">
        <v>2.6</v>
      </c>
    </row>
    <row r="53" spans="3:7" ht="13.5" thickBot="1">
      <c r="C53" s="973" t="s">
        <v>417</v>
      </c>
      <c r="D53" s="974"/>
      <c r="E53" s="975"/>
      <c r="F53" s="645">
        <v>17.4</v>
      </c>
      <c r="G53" s="98"/>
    </row>
    <row r="54" spans="6:8" ht="12.75">
      <c r="F54" s="3"/>
      <c r="G54" s="98"/>
      <c r="H54" s="3"/>
    </row>
    <row r="55" spans="6:8" ht="12.75">
      <c r="F55" s="3"/>
      <c r="G55" s="98"/>
      <c r="H55" s="3"/>
    </row>
    <row r="56" ht="12.75">
      <c r="H56" s="3"/>
    </row>
  </sheetData>
  <sheetProtection/>
  <mergeCells count="26">
    <mergeCell ref="C49:E49"/>
    <mergeCell ref="C29:E29"/>
    <mergeCell ref="C44:E44"/>
    <mergeCell ref="C43:E43"/>
    <mergeCell ref="C52:E52"/>
    <mergeCell ref="C53:E53"/>
    <mergeCell ref="C46:E46"/>
    <mergeCell ref="C50:E50"/>
    <mergeCell ref="C51:E51"/>
    <mergeCell ref="C17:G18"/>
    <mergeCell ref="H17:L18"/>
    <mergeCell ref="H38:L38"/>
    <mergeCell ref="C41:E41"/>
    <mergeCell ref="C45:E45"/>
    <mergeCell ref="C48:E48"/>
    <mergeCell ref="G44:J44"/>
    <mergeCell ref="C14:L14"/>
    <mergeCell ref="C40:E40"/>
    <mergeCell ref="C38:F38"/>
    <mergeCell ref="C42:E42"/>
    <mergeCell ref="C47:F47"/>
    <mergeCell ref="C39:F39"/>
    <mergeCell ref="E25:F26"/>
    <mergeCell ref="J25:K26"/>
    <mergeCell ref="G25:G26"/>
    <mergeCell ref="L25:L26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levantamento de bancadas</dc:title>
  <dc:subject/>
  <dc:creator>Centro de Computacao</dc:creator>
  <cp:keywords/>
  <dc:description/>
  <cp:lastModifiedBy>Vinícius Araújo Gonçalves</cp:lastModifiedBy>
  <cp:lastPrinted>2019-06-18T18:26:57Z</cp:lastPrinted>
  <dcterms:created xsi:type="dcterms:W3CDTF">2006-01-19T13:21:31Z</dcterms:created>
  <dcterms:modified xsi:type="dcterms:W3CDTF">2019-06-18T20:17:50Z</dcterms:modified>
  <cp:category/>
  <cp:version/>
  <cp:contentType/>
  <cp:contentStatus/>
</cp:coreProperties>
</file>